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ivemdxac-my.sharepoint.com/personal/s_wang_mdx_ac_uk/Documents/Middlesex University/25-26/MDXTAC Virtual Work Experience/Virtual Case Study (Accounting)/"/>
    </mc:Choice>
  </mc:AlternateContent>
  <xr:revisionPtr revIDLastSave="66" documentId="8_{0CCC7BE9-3B11-42F0-A514-3AF1370EB4E5}" xr6:coauthVersionLast="47" xr6:coauthVersionMax="47" xr10:uidLastSave="{65EBC198-ED3F-478E-8B6B-EED43243F15C}"/>
  <bookViews>
    <workbookView xWindow="-108" yWindow="-108" windowWidth="23256" windowHeight="12456" tabRatio="719" xr2:uid="{ED006728-BA82-42A9-B52D-537CEF9D58FE}"/>
  </bookViews>
  <sheets>
    <sheet name="Shan's Email" sheetId="4" r:id="rId1"/>
    <sheet name="1. Client document" sheetId="3" r:id="rId2"/>
    <sheet name="2. GAAP IS template" sheetId="1" r:id="rId3"/>
    <sheet name="3. CF template" sheetId="5" r:id="rId4"/>
    <sheet name="4. GAAP SFP template" sheetId="2" r:id="rId5"/>
    <sheet name="Shan's overall reflection point"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F20" i="5" l="1"/>
  <c r="F25" i="5"/>
  <c r="F23" i="5"/>
  <c r="F21" i="5"/>
  <c r="F14" i="5"/>
  <c r="F19" i="5"/>
  <c r="F15" i="5"/>
  <c r="F10" i="5"/>
  <c r="F9" i="5"/>
  <c r="F8" i="5"/>
  <c r="F7" i="5"/>
  <c r="F6" i="5"/>
  <c r="F14" i="2"/>
  <c r="F16" i="5"/>
  <c r="F8" i="2"/>
  <c r="F30" i="2"/>
  <c r="F29" i="2"/>
  <c r="F28" i="2"/>
  <c r="F18" i="2"/>
  <c r="F27" i="2"/>
  <c r="F19" i="2"/>
  <c r="F13" i="2"/>
  <c r="F12" i="2"/>
  <c r="F11" i="2"/>
  <c r="F7" i="2"/>
  <c r="F6" i="2"/>
  <c r="I17" i="1"/>
  <c r="I20" i="1"/>
  <c r="I19" i="1"/>
  <c r="I18" i="1"/>
  <c r="I16" i="1"/>
  <c r="I15" i="1"/>
  <c r="I9" i="1"/>
  <c r="I8" i="1"/>
  <c r="I6" i="1"/>
  <c r="I21" i="1"/>
  <c r="I10" i="1"/>
  <c r="I13" i="1"/>
  <c r="F11" i="5" l="1"/>
  <c r="I11" i="1"/>
  <c r="F15" i="2" l="1"/>
  <c r="I22" i="1"/>
  <c r="F21" i="2" l="1"/>
  <c r="F23" i="2"/>
  <c r="E50" i="3" l="1"/>
  <c r="E36" i="3"/>
  <c r="D23" i="3"/>
  <c r="D15" i="3"/>
  <c r="D17" i="3" s="1"/>
  <c r="D24" i="3" l="1"/>
</calcChain>
</file>

<file path=xl/sharedStrings.xml><?xml version="1.0" encoding="utf-8"?>
<sst xmlns="http://schemas.openxmlformats.org/spreadsheetml/2006/main" count="173" uniqueCount="149">
  <si>
    <t>Sales</t>
  </si>
  <si>
    <t>Purchases</t>
  </si>
  <si>
    <t>Cost of sales</t>
  </si>
  <si>
    <t>Gross profit</t>
  </si>
  <si>
    <t>Other income</t>
  </si>
  <si>
    <t>Depreciation</t>
  </si>
  <si>
    <t>Doubtful debt</t>
  </si>
  <si>
    <t>Rent</t>
  </si>
  <si>
    <t>Wages and salaries</t>
  </si>
  <si>
    <t>Gas and electricity</t>
  </si>
  <si>
    <t>Other expenses</t>
  </si>
  <si>
    <t>Net profit</t>
  </si>
  <si>
    <t>Non-current assets</t>
  </si>
  <si>
    <t>Current assets</t>
  </si>
  <si>
    <t>Inventory</t>
  </si>
  <si>
    <t>Trade receivables</t>
  </si>
  <si>
    <t>Prepayments</t>
  </si>
  <si>
    <t>Cash</t>
  </si>
  <si>
    <t>Total current assets</t>
  </si>
  <si>
    <t>Current liabilities</t>
  </si>
  <si>
    <t>Trade payables</t>
  </si>
  <si>
    <t>Accrued liabilities</t>
  </si>
  <si>
    <t>Net current assets</t>
  </si>
  <si>
    <t>Total assets</t>
  </si>
  <si>
    <t>Capital and liabilities</t>
  </si>
  <si>
    <t>Owner's capital</t>
  </si>
  <si>
    <t>Capital at the start</t>
  </si>
  <si>
    <t>Profit for the year</t>
  </si>
  <si>
    <t>Drawings</t>
  </si>
  <si>
    <t>Capital at the end of year</t>
  </si>
  <si>
    <t>The first set of accounts of the business were prepared on the cash basis. The income statement for 2025 is as follows:</t>
  </si>
  <si>
    <t xml:space="preserve">Note </t>
  </si>
  <si>
    <t>Purchase of computer</t>
  </si>
  <si>
    <t>Note 1</t>
  </si>
  <si>
    <t>Note 2</t>
  </si>
  <si>
    <t>Purchases of goods for sale were as follows:</t>
  </si>
  <si>
    <t>Purchases ordered during the year</t>
  </si>
  <si>
    <t>Payments to suppliers during the year</t>
  </si>
  <si>
    <t>Trade payables at 31 December 2025</t>
  </si>
  <si>
    <t>Closing inventory at 31 December 2025</t>
  </si>
  <si>
    <t>Note 3</t>
  </si>
  <si>
    <t>The computer was paid for in full during January 2025. If the computer is treated as a non-current asset under GAAP, it would be depreciated on a straight-line basis at a rate of 20% of cost.</t>
  </si>
  <si>
    <t>Note 4</t>
  </si>
  <si>
    <t>The rent paid covers a period of 18 months, from 1 January 2025 to 30 June 2026.</t>
  </si>
  <si>
    <t>Note 5</t>
  </si>
  <si>
    <t>Wages and salaries comprise:</t>
  </si>
  <si>
    <t>Note 7</t>
  </si>
  <si>
    <t>All other expenses were paid during the year and relate entirely to the first 12 months of trading.</t>
  </si>
  <si>
    <t>Best wishes</t>
  </si>
  <si>
    <t>Cash Flow Statement</t>
  </si>
  <si>
    <t>For the year ended 31 December 2025</t>
  </si>
  <si>
    <t>Cash flows from operating activities</t>
  </si>
  <si>
    <t>Cash received from customers</t>
  </si>
  <si>
    <t>Cash paid to suppliers</t>
  </si>
  <si>
    <t>Cash paid for wages</t>
  </si>
  <si>
    <t>Rent and utilities paid</t>
  </si>
  <si>
    <t>Net cash from operating activities</t>
  </si>
  <si>
    <t>Cash flows from investing activities</t>
  </si>
  <si>
    <t>Purchase of equipment</t>
  </si>
  <si>
    <t>Net cash from investing activities</t>
  </si>
  <si>
    <t>Cash flows from financing activities</t>
  </si>
  <si>
    <t>Capital introduced</t>
  </si>
  <si>
    <t>Net cash from financing activities</t>
  </si>
  <si>
    <t>Increase/(Decrease) in cash</t>
  </si>
  <si>
    <t>Opening cash balance</t>
  </si>
  <si>
    <t>Closing cash balance</t>
  </si>
  <si>
    <t>£</t>
  </si>
  <si>
    <t>Statement of Financial Position</t>
  </si>
  <si>
    <t>As at 31 December 2025</t>
  </si>
  <si>
    <t>Accomulated Depreciation</t>
  </si>
  <si>
    <t>NBV as at 31 December 2025</t>
  </si>
  <si>
    <t xml:space="preserve">Note 6 </t>
  </si>
  <si>
    <t>The amount shown for gas and electricity was paid during the year and covered the first 11 months of trading. The amounts due for December 2025 are estimated at £140 and are due for payment in January 2026.</t>
  </si>
  <si>
    <t xml:space="preserve">The amount for sales income received does not include £7,000 of sales which were invoiced in December 2025 but no payment received until 2026. </t>
  </si>
  <si>
    <t>When the receivables were reviewed in detail at 31 December 2025, a debt of £700 owed by a customer in difficulty was considered to be doubtful.</t>
  </si>
  <si>
    <t>For the period ended 31 December 2025</t>
  </si>
  <si>
    <t>Less: Cost of sales</t>
  </si>
  <si>
    <t>Less: Closing inventory</t>
  </si>
  <si>
    <t>Total income</t>
  </si>
  <si>
    <t>Less: Operating expenses</t>
  </si>
  <si>
    <t>Total operating expenses</t>
  </si>
  <si>
    <t>Leave this row blank: this is a heading</t>
  </si>
  <si>
    <t>Shan's instant Feedback to MDXTAC volunteers (do not delete)</t>
  </si>
  <si>
    <t xml:space="preserve">        her pension contributions </t>
  </si>
  <si>
    <t xml:space="preserve">Catalina’s drawings from the business and </t>
  </si>
  <si>
    <t>Salary paid to Catalina’s son</t>
  </si>
  <si>
    <t>Knowledge</t>
  </si>
  <si>
    <t>Graduate Competency Skills</t>
  </si>
  <si>
    <t>Financial Accounting: the fundamental knowledge of the UK GAAP and acounting concepts</t>
  </si>
  <si>
    <t>Advanced or Applied Financial Accounting: compilation of a full Statement of Profit or Loss.</t>
  </si>
  <si>
    <t>Resilience: overcome difficulties.</t>
  </si>
  <si>
    <t xml:space="preserve">Curiosity &amp; Learning: take your own initiative to look into issues you encountered. </t>
  </si>
  <si>
    <t xml:space="preserve">Problem solving: utilise resources to complete a task to a professional standard. </t>
  </si>
  <si>
    <t xml:space="preserve">Time management: plan your daily responsibilities effectively so you had sufficient time to work on this task. </t>
  </si>
  <si>
    <t xml:space="preserve">Advanced or Applied Management Accounting, Financial Project Management: Fundamental Excel knowledge from completing various coursework. </t>
  </si>
  <si>
    <t>Statement of Profit or Loss (GAAP)</t>
  </si>
  <si>
    <t>Income Statement (Cash Basis)</t>
  </si>
  <si>
    <t>Hi Shan</t>
  </si>
  <si>
    <t xml:space="preserve">I began trading on 1 January 2025, preparing accounts to 31 December 2025.  </t>
  </si>
  <si>
    <t>I opened a business bank account with Barclays and transferred £10,000 from my personal bank account to this new business bank account.</t>
  </si>
  <si>
    <t>This is Catalina. Thanks for the initial meeting. As discussed, this is the income statement I prepared under the cash basis.</t>
  </si>
  <si>
    <t>----------- End of the Notes-----------</t>
  </si>
  <si>
    <t>As Discussed in our meeting, please kindly ask your student volunteers to help me with the following tasks:</t>
  </si>
  <si>
    <t>1. Prepare an income statement under GAAP requirement, I believe you menioned it is under the accruals basis?</t>
  </si>
  <si>
    <t>2. Prepare a Statement of Financial Position under GAAP requirement. I hope the information I provided are sufficient.</t>
  </si>
  <si>
    <t>3. It would be helpful to have a cashflow statement prepared as well. I have decided not to use Xero or Sage this year and continue to use Excel.</t>
  </si>
  <si>
    <t>Thank you so much.</t>
  </si>
  <si>
    <t>Catalina</t>
  </si>
  <si>
    <t xml:space="preserve">Thanks for becoming a virtual volunteer at MDXTAC! Welcome on board. </t>
  </si>
  <si>
    <t xml:space="preserve">She prepared her income statement under the cash basis. She also included some notes which are helpful for preparing her financial statements under GAAP requirements. </t>
  </si>
  <si>
    <t xml:space="preserve">Under GAAP, the financial statements are prepared under the accruals basis. </t>
  </si>
  <si>
    <t>Dear MDXTAC volunteers</t>
  </si>
  <si>
    <t xml:space="preserve">Catalina is our new client, I met with her last week. She has started a new business in January this year. She recently attended a webinar that covered accounts preparation under the UK GAAP rules. </t>
  </si>
  <si>
    <t>She is confused about the difference between cash basis and GAAP requirements.</t>
  </si>
  <si>
    <t>She is not using any off the shelf accounting software. She is using Excel for her bookkeeping and accounting tasks. This is very common for small businesses, especially at the start up process.</t>
  </si>
  <si>
    <t>Please read through the information Catalina provided in tab "1. Client document", and use these information to complete the following tasks:</t>
  </si>
  <si>
    <t>1. Use "2. GAAP IS template" to prepare a Statement of Profit or Loss under the GAAP rules (accruals basis)</t>
  </si>
  <si>
    <t>Email subject: HELP: MDXTAC virtual case study.</t>
  </si>
  <si>
    <t xml:space="preserve">Email content: </t>
  </si>
  <si>
    <t>Please describe the problem you are encountering, preferrably with screenshot/attachment.</t>
  </si>
  <si>
    <t>Please clearly state your name and student number in the email.</t>
  </si>
  <si>
    <t xml:space="preserve">I normally reply to email within 3 working days. </t>
  </si>
  <si>
    <t>Thanks for your help with our client. I hope you have a positive virtual work experience by completing this case study.</t>
  </si>
  <si>
    <t xml:space="preserve">As you are completing this client case under the supervision of a Chartered Accountant (me), to help you with this task, please use the instant feedback comments I incorporated into this working file when </t>
  </si>
  <si>
    <r>
      <t xml:space="preserve">completing each statement. If you are still struggling at any stage, please email me at </t>
    </r>
    <r>
      <rPr>
        <b/>
        <sz val="11"/>
        <color theme="1"/>
        <rFont val="Calibri"/>
        <family val="2"/>
        <scheme val="minor"/>
      </rPr>
      <t>s.wang@mdx.ac.uk</t>
    </r>
    <r>
      <rPr>
        <sz val="11"/>
        <color theme="1"/>
        <rFont val="Calibri"/>
        <family val="2"/>
        <scheme val="minor"/>
      </rPr>
      <t xml:space="preserve">. </t>
    </r>
  </si>
  <si>
    <t>Equipment at cost</t>
  </si>
  <si>
    <t>This is correct. Do not change.</t>
  </si>
  <si>
    <t xml:space="preserve">If you have finished this virtual case study, well done! I hope the instant feedback comments helped you in completing this case work. </t>
  </si>
  <si>
    <t>Modules you may have studied</t>
  </si>
  <si>
    <t>ACC1110 Financial Accounting</t>
  </si>
  <si>
    <t>ACC1135 Accounting Information Systems</t>
  </si>
  <si>
    <t>ACC2820 Applied Management Accounting</t>
  </si>
  <si>
    <t>Application to this virtual case study</t>
  </si>
  <si>
    <t>Fundamental Excel knowledge, reconciliation</t>
  </si>
  <si>
    <t>Digital Accounting: the effective use of Excel. You may have also used AI to asist you. If so, remember to reflect this in your reflection for MES marks too.</t>
  </si>
  <si>
    <t xml:space="preserve">Here is my reflection of this virtual case study, hopefully this helps you with your reflection for the MES marks. Of course, you may agree/disagree with my reflection here, and you will have more to reflect on, especially from </t>
  </si>
  <si>
    <t>errors you made when completing this virtual case study, new things you learnt, what went well/not well, etc.</t>
  </si>
  <si>
    <t>Overall feedback from Shan to MDXTAC volunteers:</t>
  </si>
  <si>
    <t>Once you have made a reasonable attempt (hopefully you got everything right), you can move onto the next activity.</t>
  </si>
  <si>
    <t>2. Your short reflection (either in Word, or a self-recorded video).</t>
  </si>
  <si>
    <t xml:space="preserve">When you have finished all of the above tasks, please submit the following 2 files to My Employability &amp; Success page:   </t>
  </si>
  <si>
    <t>https://mdx.mrooms.net/course/view.php?id=1226</t>
  </si>
  <si>
    <t>1. Your completed Excel answer file (this file). - The University's academic misconduct rules do apply.</t>
  </si>
  <si>
    <t>(MES Marks: Year 3/4 folder: find the submission link for virtual case study under the correct module you are studying).</t>
  </si>
  <si>
    <t>You will then be awarded 2 MES marks. This is due on Friday of learning week 6.</t>
  </si>
  <si>
    <t>2. Use "3. CF template" to prepare a direct cashflow statement.</t>
  </si>
  <si>
    <t xml:space="preserve">3. Use "4. GAAP SFP template" to prepare a Statement of Financial Position under the GAAP rules (accruals basis). </t>
  </si>
  <si>
    <t>ACC2125 Advanced Management Accounting</t>
  </si>
  <si>
    <t>Preparation of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</si>
</sst>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Red]\(#,##0\)"/>
  </numFmts>
  <fonts count="10"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u/>
      <sz val="11"/>
      <color theme="10"/>
      <name val="Calibri"/>
      <family val="2"/>
      <scheme val="minor"/>
    </font>
    <font>
      <b/>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1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43" fontId="2" fillId="0" borderId="0" applyFont="0" applyFill="0" applyBorder="0" applyAlignment="0" applyProtection="0"/>
    <xf numFmtId="0" fontId="8" fillId="0" borderId="0" applyNumberFormat="0" applyFill="0" applyBorder="0" applyAlignment="0" applyProtection="0"/>
  </cellStyleXfs>
  <cellXfs count="139">
    <xf numFmtId="0" fontId="0" fillId="0" borderId="0" xfId="0"/>
    <xf numFmtId="0" fontId="0" fillId="2" borderId="5" xfId="0" applyFill="1" applyBorder="1" applyProtection="1">
      <protection locked="0"/>
    </xf>
    <xf numFmtId="0" fontId="0" fillId="2" borderId="3" xfId="0" applyFill="1" applyBorder="1" applyProtection="1">
      <protection locked="0"/>
    </xf>
    <xf numFmtId="0" fontId="0" fillId="2" borderId="6" xfId="0" applyFill="1" applyBorder="1" applyProtection="1">
      <protection locked="0"/>
    </xf>
    <xf numFmtId="0" fontId="0" fillId="2" borderId="0" xfId="0" applyFill="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9" xfId="0" applyFill="1" applyBorder="1" applyProtection="1">
      <protection locked="0"/>
    </xf>
    <xf numFmtId="0" fontId="0" fillId="2" borderId="1" xfId="0" applyFill="1" applyBorder="1" applyProtection="1">
      <protection locked="0"/>
    </xf>
    <xf numFmtId="0" fontId="0" fillId="2" borderId="10" xfId="0" applyFill="1" applyBorder="1" applyProtection="1">
      <protection locked="0"/>
    </xf>
    <xf numFmtId="0" fontId="0" fillId="2" borderId="0" xfId="0" applyFill="1" applyAlignment="1" applyProtection="1">
      <alignment horizontal="left" vertical="center"/>
      <protection locked="0"/>
    </xf>
    <xf numFmtId="0" fontId="1" fillId="2" borderId="0" xfId="0" applyFont="1" applyFill="1" applyAlignment="1" applyProtection="1">
      <alignment horizontal="center"/>
      <protection locked="0"/>
    </xf>
    <xf numFmtId="0" fontId="1" fillId="2" borderId="8" xfId="0" applyFont="1" applyFill="1" applyBorder="1" applyAlignment="1" applyProtection="1">
      <alignment horizontal="center"/>
      <protection locked="0"/>
    </xf>
    <xf numFmtId="165" fontId="0" fillId="2" borderId="0" xfId="0" applyNumberFormat="1" applyFill="1" applyProtection="1">
      <protection locked="0"/>
    </xf>
    <xf numFmtId="0" fontId="0" fillId="2" borderId="8" xfId="0" applyFill="1" applyBorder="1" applyAlignment="1" applyProtection="1">
      <alignment horizontal="center"/>
      <protection locked="0"/>
    </xf>
    <xf numFmtId="0" fontId="1" fillId="2" borderId="7" xfId="0" applyFont="1" applyFill="1" applyBorder="1" applyProtection="1">
      <protection locked="0"/>
    </xf>
    <xf numFmtId="165" fontId="1" fillId="2" borderId="3" xfId="0" applyNumberFormat="1" applyFont="1" applyFill="1" applyBorder="1" applyProtection="1">
      <protection locked="0"/>
    </xf>
    <xf numFmtId="165" fontId="0" fillId="2" borderId="3" xfId="0" applyNumberFormat="1" applyFill="1" applyBorder="1" applyProtection="1">
      <protection locked="0"/>
    </xf>
    <xf numFmtId="165" fontId="0" fillId="2" borderId="1" xfId="0" applyNumberFormat="1" applyFill="1" applyBorder="1" applyProtection="1">
      <protection locked="0"/>
    </xf>
    <xf numFmtId="0" fontId="0" fillId="2" borderId="8" xfId="0" applyFill="1" applyBorder="1" applyAlignment="1" applyProtection="1">
      <alignment horizontal="right"/>
      <protection locked="0"/>
    </xf>
    <xf numFmtId="165" fontId="1" fillId="2" borderId="0" xfId="0" applyNumberFormat="1" applyFont="1" applyFill="1" applyProtection="1">
      <protection locked="0"/>
    </xf>
    <xf numFmtId="165" fontId="1" fillId="2" borderId="2" xfId="0" applyNumberFormat="1" applyFont="1" applyFill="1" applyBorder="1" applyProtection="1">
      <protection locked="0"/>
    </xf>
    <xf numFmtId="0" fontId="1" fillId="2" borderId="0" xfId="0" applyFont="1" applyFill="1" applyAlignment="1" applyProtection="1">
      <alignment horizontal="left" vertical="center"/>
      <protection locked="0"/>
    </xf>
    <xf numFmtId="0" fontId="0" fillId="2" borderId="0" xfId="0" applyFill="1" applyAlignment="1" applyProtection="1">
      <alignment horizontal="left" vertical="center" indent="2"/>
      <protection locked="0"/>
    </xf>
    <xf numFmtId="0" fontId="3" fillId="2" borderId="0" xfId="0" applyFont="1" applyFill="1" applyAlignment="1" applyProtection="1">
      <alignment horizontal="left" vertical="center" indent="1"/>
      <protection locked="0"/>
    </xf>
    <xf numFmtId="3" fontId="0" fillId="2" borderId="0" xfId="0" applyNumberFormat="1" applyFill="1" applyAlignment="1" applyProtection="1">
      <alignment horizontal="left" vertical="center"/>
      <protection locked="0"/>
    </xf>
    <xf numFmtId="0" fontId="1" fillId="2" borderId="0" xfId="0" quotePrefix="1" applyFont="1" applyFill="1" applyAlignment="1" applyProtection="1">
      <alignment horizontal="left" vertical="center" indent="4"/>
      <protection locked="0"/>
    </xf>
    <xf numFmtId="0" fontId="6" fillId="2" borderId="7" xfId="0" applyFont="1" applyFill="1" applyBorder="1" applyProtection="1">
      <protection locked="0"/>
    </xf>
    <xf numFmtId="0" fontId="6" fillId="2" borderId="0" xfId="0" applyFont="1" applyFill="1" applyProtection="1">
      <protection locked="0"/>
    </xf>
    <xf numFmtId="0" fontId="6" fillId="2" borderId="0" xfId="0" applyFont="1" applyFill="1" applyAlignment="1" applyProtection="1">
      <alignment horizontal="center"/>
      <protection locked="0"/>
    </xf>
    <xf numFmtId="0" fontId="5" fillId="2" borderId="7"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165" fontId="6" fillId="2" borderId="0" xfId="0" applyNumberFormat="1" applyFont="1" applyFill="1" applyAlignment="1" applyProtection="1">
      <alignment horizontal="right" vertical="center"/>
      <protection locked="0"/>
    </xf>
    <xf numFmtId="165" fontId="6" fillId="2" borderId="0" xfId="0" applyNumberFormat="1" applyFont="1" applyFill="1" applyAlignment="1" applyProtection="1">
      <alignment vertical="center"/>
      <protection locked="0"/>
    </xf>
    <xf numFmtId="0" fontId="0" fillId="2" borderId="0" xfId="0" applyFill="1" applyAlignment="1" applyProtection="1">
      <alignment vertical="center"/>
      <protection locked="0"/>
    </xf>
    <xf numFmtId="0" fontId="6" fillId="2" borderId="7" xfId="0" applyFont="1" applyFill="1" applyBorder="1" applyAlignment="1" applyProtection="1">
      <alignment horizontal="left" vertical="center"/>
      <protection locked="0"/>
    </xf>
    <xf numFmtId="165" fontId="6" fillId="2" borderId="1" xfId="0" applyNumberFormat="1" applyFont="1" applyFill="1" applyBorder="1" applyAlignment="1" applyProtection="1">
      <alignment horizontal="right" vertical="center"/>
      <protection locked="0"/>
    </xf>
    <xf numFmtId="165" fontId="6" fillId="2" borderId="1" xfId="0" applyNumberFormat="1" applyFont="1" applyFill="1" applyBorder="1" applyAlignment="1" applyProtection="1">
      <alignment vertical="center"/>
      <protection locked="0"/>
    </xf>
    <xf numFmtId="0" fontId="5" fillId="3" borderId="7" xfId="0" applyFont="1" applyFill="1" applyBorder="1" applyAlignment="1" applyProtection="1">
      <alignment horizontal="left" vertical="center"/>
      <protection locked="0"/>
    </xf>
    <xf numFmtId="0" fontId="0" fillId="3" borderId="0" xfId="0" applyFill="1" applyAlignment="1" applyProtection="1">
      <alignment vertical="center"/>
      <protection locked="0"/>
    </xf>
    <xf numFmtId="165" fontId="6" fillId="3" borderId="0" xfId="0" applyNumberFormat="1" applyFont="1" applyFill="1" applyAlignment="1" applyProtection="1">
      <alignment horizontal="right" vertical="center"/>
      <protection locked="0"/>
    </xf>
    <xf numFmtId="165" fontId="5" fillId="3" borderId="2" xfId="0" applyNumberFormat="1" applyFont="1" applyFill="1" applyBorder="1" applyAlignment="1" applyProtection="1">
      <alignment vertical="center"/>
      <protection locked="0"/>
    </xf>
    <xf numFmtId="0" fontId="0" fillId="3" borderId="8" xfId="0" applyFill="1" applyBorder="1" applyProtection="1">
      <protection locked="0"/>
    </xf>
    <xf numFmtId="164" fontId="0" fillId="2" borderId="8" xfId="1" applyNumberFormat="1" applyFont="1" applyFill="1" applyBorder="1" applyAlignment="1" applyProtection="1">
      <alignment horizontal="center"/>
      <protection locked="0"/>
    </xf>
    <xf numFmtId="0" fontId="5" fillId="2" borderId="7" xfId="0" applyFont="1" applyFill="1" applyBorder="1" applyProtection="1">
      <protection locked="0"/>
    </xf>
    <xf numFmtId="164" fontId="6" fillId="2" borderId="8" xfId="1" applyNumberFormat="1" applyFont="1" applyFill="1" applyBorder="1" applyAlignment="1" applyProtection="1">
      <alignment horizontal="center"/>
      <protection locked="0"/>
    </xf>
    <xf numFmtId="165" fontId="6" fillId="2" borderId="8" xfId="1" applyNumberFormat="1" applyFont="1" applyFill="1" applyBorder="1" applyAlignment="1" applyProtection="1">
      <alignment horizontal="center" vertical="center"/>
      <protection locked="0"/>
    </xf>
    <xf numFmtId="165" fontId="6" fillId="2" borderId="10" xfId="1" applyNumberFormat="1" applyFont="1" applyFill="1" applyBorder="1" applyAlignment="1" applyProtection="1">
      <alignment horizontal="center" vertical="center"/>
      <protection locked="0"/>
    </xf>
    <xf numFmtId="0" fontId="5" fillId="2" borderId="7" xfId="0" applyFont="1" applyFill="1" applyBorder="1" applyAlignment="1" applyProtection="1">
      <alignment horizontal="left" vertical="center"/>
      <protection locked="0"/>
    </xf>
    <xf numFmtId="0" fontId="5" fillId="2" borderId="0" xfId="0" applyFont="1" applyFill="1" applyAlignment="1" applyProtection="1">
      <alignment vertical="center"/>
      <protection locked="0"/>
    </xf>
    <xf numFmtId="165" fontId="5" fillId="2" borderId="12" xfId="1" applyNumberFormat="1" applyFont="1" applyFill="1" applyBorder="1" applyAlignment="1" applyProtection="1">
      <alignment horizontal="center" vertical="center"/>
      <protection locked="0"/>
    </xf>
    <xf numFmtId="0" fontId="6" fillId="2" borderId="7" xfId="0" applyFont="1" applyFill="1" applyBorder="1" applyAlignment="1" applyProtection="1">
      <alignment vertical="center"/>
      <protection locked="0"/>
    </xf>
    <xf numFmtId="165" fontId="5" fillId="2" borderId="6" xfId="1" applyNumberFormat="1" applyFont="1" applyFill="1" applyBorder="1" applyAlignment="1" applyProtection="1">
      <alignment horizontal="center" vertical="center"/>
      <protection locked="0"/>
    </xf>
    <xf numFmtId="0" fontId="5" fillId="3" borderId="7" xfId="0" applyFont="1" applyFill="1" applyBorder="1" applyAlignment="1" applyProtection="1">
      <alignment vertical="center"/>
      <protection locked="0"/>
    </xf>
    <xf numFmtId="0" fontId="6" fillId="3" borderId="0" xfId="0" applyFont="1" applyFill="1" applyAlignment="1" applyProtection="1">
      <alignment vertical="center"/>
      <protection locked="0"/>
    </xf>
    <xf numFmtId="165" fontId="5" fillId="3" borderId="13" xfId="1" applyNumberFormat="1" applyFont="1" applyFill="1" applyBorder="1" applyAlignment="1" applyProtection="1">
      <alignment horizontal="center" vertical="center"/>
      <protection locked="0"/>
    </xf>
    <xf numFmtId="0" fontId="7" fillId="2" borderId="7" xfId="0" applyFont="1" applyFill="1" applyBorder="1" applyAlignment="1" applyProtection="1">
      <alignment horizontal="left" vertical="center"/>
      <protection locked="0"/>
    </xf>
    <xf numFmtId="164" fontId="0" fillId="2" borderId="10" xfId="1" applyNumberFormat="1" applyFont="1" applyFill="1" applyBorder="1" applyAlignment="1" applyProtection="1">
      <alignment horizontal="center"/>
      <protection locked="0"/>
    </xf>
    <xf numFmtId="164" fontId="0" fillId="2" borderId="0" xfId="1" applyNumberFormat="1" applyFont="1" applyFill="1" applyAlignment="1" applyProtection="1">
      <alignment horizontal="center"/>
      <protection locked="0"/>
    </xf>
    <xf numFmtId="0" fontId="7" fillId="3" borderId="7" xfId="0" applyFont="1" applyFill="1" applyBorder="1" applyAlignment="1" applyProtection="1">
      <alignment vertical="center"/>
      <protection locked="0"/>
    </xf>
    <xf numFmtId="165" fontId="6" fillId="3" borderId="8" xfId="1" applyNumberFormat="1" applyFont="1" applyFill="1" applyBorder="1" applyAlignment="1" applyProtection="1">
      <alignment vertical="center"/>
      <protection locked="0"/>
    </xf>
    <xf numFmtId="0" fontId="6" fillId="2" borderId="7" xfId="0" applyFont="1" applyFill="1" applyBorder="1" applyAlignment="1" applyProtection="1">
      <alignment horizontal="left" vertical="center" indent="1"/>
      <protection locked="0"/>
    </xf>
    <xf numFmtId="165" fontId="6" fillId="2" borderId="8" xfId="1" applyNumberFormat="1" applyFont="1" applyFill="1" applyBorder="1" applyAlignment="1" applyProtection="1">
      <alignment vertical="center"/>
      <protection locked="0"/>
    </xf>
    <xf numFmtId="0" fontId="5" fillId="3" borderId="11" xfId="0" applyFont="1" applyFill="1" applyBorder="1" applyAlignment="1" applyProtection="1">
      <alignment vertical="center"/>
      <protection locked="0"/>
    </xf>
    <xf numFmtId="0" fontId="6" fillId="3" borderId="4" xfId="0" applyFont="1" applyFill="1" applyBorder="1" applyAlignment="1" applyProtection="1">
      <alignment vertical="center"/>
      <protection locked="0"/>
    </xf>
    <xf numFmtId="165" fontId="5" fillId="3" borderId="12" xfId="1" applyNumberFormat="1" applyFont="1" applyFill="1" applyBorder="1" applyAlignment="1" applyProtection="1">
      <alignment vertical="center"/>
      <protection locked="0"/>
    </xf>
    <xf numFmtId="165" fontId="5" fillId="2" borderId="8" xfId="1" applyNumberFormat="1" applyFont="1" applyFill="1" applyBorder="1" applyAlignment="1" applyProtection="1">
      <alignment vertical="center"/>
      <protection locked="0"/>
    </xf>
    <xf numFmtId="0" fontId="9" fillId="4" borderId="7" xfId="0" applyFont="1" applyFill="1" applyBorder="1" applyAlignment="1" applyProtection="1">
      <alignment vertical="center"/>
      <protection locked="0"/>
    </xf>
    <xf numFmtId="0" fontId="9" fillId="4" borderId="0" xfId="0" applyFont="1" applyFill="1" applyAlignment="1" applyProtection="1">
      <alignment vertical="center"/>
      <protection locked="0"/>
    </xf>
    <xf numFmtId="165" fontId="9" fillId="4" borderId="13" xfId="1" applyNumberFormat="1" applyFont="1" applyFill="1" applyBorder="1" applyAlignment="1" applyProtection="1">
      <alignment vertical="center"/>
      <protection locked="0"/>
    </xf>
    <xf numFmtId="0" fontId="6" fillId="2" borderId="9" xfId="0" applyFont="1" applyFill="1" applyBorder="1" applyAlignment="1" applyProtection="1">
      <alignment vertical="center"/>
      <protection locked="0"/>
    </xf>
    <xf numFmtId="0" fontId="6" fillId="2" borderId="1" xfId="0" applyFont="1" applyFill="1" applyBorder="1" applyAlignment="1" applyProtection="1">
      <alignment vertical="center"/>
      <protection locked="0"/>
    </xf>
    <xf numFmtId="165" fontId="6" fillId="2" borderId="10" xfId="1" applyNumberFormat="1" applyFont="1" applyFill="1" applyBorder="1" applyAlignment="1" applyProtection="1">
      <alignment vertical="center"/>
      <protection locked="0"/>
    </xf>
    <xf numFmtId="165" fontId="6" fillId="2" borderId="0" xfId="1" applyNumberFormat="1" applyFont="1" applyFill="1" applyAlignment="1" applyProtection="1">
      <alignment vertical="center"/>
      <protection locked="0"/>
    </xf>
    <xf numFmtId="0" fontId="1" fillId="2" borderId="5" xfId="0" applyFont="1" applyFill="1" applyBorder="1" applyProtection="1">
      <protection locked="0"/>
    </xf>
    <xf numFmtId="0" fontId="0" fillId="2" borderId="7" xfId="0" applyFill="1" applyBorder="1" applyAlignment="1" applyProtection="1">
      <alignment horizontal="left" indent="2"/>
      <protection locked="0"/>
    </xf>
    <xf numFmtId="0" fontId="1" fillId="2" borderId="11" xfId="0" applyFont="1" applyFill="1" applyBorder="1" applyProtection="1">
      <protection locked="0"/>
    </xf>
    <xf numFmtId="0" fontId="1" fillId="2" borderId="4" xfId="0" applyFont="1" applyFill="1" applyBorder="1" applyProtection="1">
      <protection locked="0"/>
    </xf>
    <xf numFmtId="0" fontId="1" fillId="2" borderId="12" xfId="0" applyFont="1" applyFill="1" applyBorder="1" applyProtection="1">
      <protection locked="0"/>
    </xf>
    <xf numFmtId="0" fontId="0" fillId="2" borderId="4" xfId="0" applyFill="1" applyBorder="1" applyProtection="1">
      <protection locked="0"/>
    </xf>
    <xf numFmtId="0" fontId="0" fillId="2" borderId="12" xfId="0" applyFill="1" applyBorder="1" applyProtection="1">
      <protection locked="0"/>
    </xf>
    <xf numFmtId="0" fontId="0" fillId="2" borderId="9" xfId="0" applyFill="1" applyBorder="1" applyAlignment="1" applyProtection="1">
      <alignment horizontal="left" indent="2"/>
      <protection locked="0"/>
    </xf>
    <xf numFmtId="0" fontId="6" fillId="2" borderId="7" xfId="0" applyFont="1" applyFill="1" applyBorder="1" applyAlignment="1" applyProtection="1">
      <alignment vertical="center"/>
      <protection hidden="1"/>
    </xf>
    <xf numFmtId="0" fontId="6" fillId="2" borderId="0" xfId="0" applyFont="1" applyFill="1" applyAlignment="1" applyProtection="1">
      <alignment vertical="center"/>
      <protection hidden="1"/>
    </xf>
    <xf numFmtId="0" fontId="6" fillId="2" borderId="8" xfId="0" applyFont="1" applyFill="1" applyBorder="1" applyAlignment="1" applyProtection="1">
      <alignment vertical="center"/>
      <protection hidden="1"/>
    </xf>
    <xf numFmtId="0" fontId="6" fillId="2" borderId="9" xfId="0" applyFont="1" applyFill="1" applyBorder="1" applyAlignment="1" applyProtection="1">
      <alignment vertical="center"/>
      <protection hidden="1"/>
    </xf>
    <xf numFmtId="0" fontId="6" fillId="2" borderId="1" xfId="0" applyFont="1" applyFill="1" applyBorder="1" applyAlignment="1" applyProtection="1">
      <alignment vertical="center"/>
      <protection hidden="1"/>
    </xf>
    <xf numFmtId="0" fontId="6" fillId="2" borderId="10" xfId="0" applyFont="1" applyFill="1" applyBorder="1" applyAlignment="1" applyProtection="1">
      <alignment vertical="center"/>
      <protection hidden="1"/>
    </xf>
    <xf numFmtId="0" fontId="0" fillId="2" borderId="7" xfId="0" applyFill="1" applyBorder="1" applyProtection="1">
      <protection hidden="1"/>
    </xf>
    <xf numFmtId="0" fontId="0" fillId="2" borderId="0" xfId="0" applyFill="1" applyProtection="1">
      <protection hidden="1"/>
    </xf>
    <xf numFmtId="0" fontId="0" fillId="2" borderId="8" xfId="0" applyFill="1" applyBorder="1" applyProtection="1">
      <protection hidden="1"/>
    </xf>
    <xf numFmtId="0" fontId="0" fillId="2" borderId="7" xfId="0" applyFill="1" applyBorder="1" applyAlignment="1" applyProtection="1">
      <alignment vertical="center"/>
      <protection hidden="1"/>
    </xf>
    <xf numFmtId="0" fontId="0" fillId="2" borderId="0" xfId="0" applyFill="1" applyAlignment="1" applyProtection="1">
      <alignment vertical="center"/>
      <protection hidden="1"/>
    </xf>
    <xf numFmtId="0" fontId="0" fillId="2" borderId="8" xfId="0" applyFill="1" applyBorder="1" applyAlignment="1" applyProtection="1">
      <alignment vertical="center"/>
      <protection hidden="1"/>
    </xf>
    <xf numFmtId="0" fontId="0" fillId="2" borderId="9" xfId="0" applyFill="1" applyBorder="1" applyProtection="1">
      <protection hidden="1"/>
    </xf>
    <xf numFmtId="0" fontId="0" fillId="2" borderId="1" xfId="0" applyFill="1" applyBorder="1" applyProtection="1">
      <protection hidden="1"/>
    </xf>
    <xf numFmtId="0" fontId="0" fillId="2" borderId="10" xfId="0" applyFill="1" applyBorder="1" applyProtection="1">
      <protection hidden="1"/>
    </xf>
    <xf numFmtId="0" fontId="8" fillId="2" borderId="7" xfId="2" applyFill="1" applyBorder="1" applyProtection="1">
      <protection locked="0"/>
    </xf>
    <xf numFmtId="165" fontId="0" fillId="2" borderId="0" xfId="0" applyNumberFormat="1" applyFill="1" applyAlignment="1" applyProtection="1">
      <alignment horizontal="right" vertical="center"/>
      <protection locked="0"/>
    </xf>
    <xf numFmtId="165" fontId="0" fillId="2" borderId="1" xfId="0" applyNumberFormat="1" applyFill="1" applyBorder="1" applyAlignment="1" applyProtection="1">
      <alignment horizontal="right" vertical="center"/>
      <protection locked="0"/>
    </xf>
    <xf numFmtId="0" fontId="1" fillId="2" borderId="5"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6"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1" fillId="2" borderId="0" xfId="0" applyFont="1" applyFill="1" applyAlignment="1" applyProtection="1">
      <alignment horizontal="center"/>
      <protection locked="0"/>
    </xf>
    <xf numFmtId="0" fontId="1" fillId="2" borderId="8" xfId="0" applyFont="1" applyFill="1" applyBorder="1" applyAlignment="1" applyProtection="1">
      <alignment horizontal="center"/>
      <protection locked="0"/>
    </xf>
    <xf numFmtId="0" fontId="0" fillId="2" borderId="7" xfId="0" applyFill="1" applyBorder="1" applyAlignment="1" applyProtection="1">
      <alignment horizontal="left" vertical="center" wrapText="1"/>
      <protection hidden="1"/>
    </xf>
    <xf numFmtId="0" fontId="0" fillId="2" borderId="0" xfId="0" applyFill="1" applyAlignment="1" applyProtection="1">
      <alignment horizontal="left" vertical="center" wrapText="1"/>
      <protection hidden="1"/>
    </xf>
    <xf numFmtId="0" fontId="0" fillId="2" borderId="8" xfId="0" applyFill="1" applyBorder="1" applyAlignment="1" applyProtection="1">
      <alignment horizontal="left" vertical="center" wrapText="1"/>
      <protection hidden="1"/>
    </xf>
    <xf numFmtId="0" fontId="5" fillId="2" borderId="5"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1" fillId="2" borderId="5" xfId="0" applyFont="1" applyFill="1" applyBorder="1" applyAlignment="1" applyProtection="1">
      <alignment horizontal="center"/>
      <protection hidden="1"/>
    </xf>
    <xf numFmtId="0" fontId="1" fillId="2" borderId="3" xfId="0" applyFont="1" applyFill="1" applyBorder="1" applyAlignment="1" applyProtection="1">
      <alignment horizontal="center"/>
      <protection hidden="1"/>
    </xf>
    <xf numFmtId="0" fontId="1" fillId="2" borderId="6" xfId="0" applyFont="1" applyFill="1" applyBorder="1" applyAlignment="1" applyProtection="1">
      <alignment horizontal="center"/>
      <protection hidden="1"/>
    </xf>
    <xf numFmtId="0" fontId="6" fillId="2" borderId="7" xfId="0" applyFont="1" applyFill="1" applyBorder="1" applyAlignment="1" applyProtection="1">
      <alignment horizontal="left" vertical="center" wrapText="1"/>
      <protection hidden="1"/>
    </xf>
    <xf numFmtId="0" fontId="6" fillId="2" borderId="0" xfId="0" applyFont="1" applyFill="1" applyAlignment="1" applyProtection="1">
      <alignment horizontal="left" vertical="center" wrapText="1"/>
      <protection hidden="1"/>
    </xf>
    <xf numFmtId="0" fontId="6" fillId="2" borderId="8" xfId="0" applyFont="1" applyFill="1" applyBorder="1" applyAlignment="1" applyProtection="1">
      <alignment horizontal="left" vertical="center" wrapText="1"/>
      <protection hidden="1"/>
    </xf>
    <xf numFmtId="0" fontId="5" fillId="2" borderId="5"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hidden="1"/>
    </xf>
    <xf numFmtId="0" fontId="5" fillId="2" borderId="3" xfId="0" applyFont="1" applyFill="1" applyBorder="1" applyAlignment="1" applyProtection="1">
      <alignment horizontal="center" vertical="center"/>
      <protection hidden="1"/>
    </xf>
    <xf numFmtId="0" fontId="5" fillId="2" borderId="6" xfId="0" applyFont="1" applyFill="1" applyBorder="1" applyAlignment="1" applyProtection="1">
      <alignment horizontal="center" vertical="center"/>
      <protection hidden="1"/>
    </xf>
    <xf numFmtId="0" fontId="5" fillId="2" borderId="6" xfId="0"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0" xfId="0" applyFont="1" applyFill="1" applyAlignment="1" applyProtection="1">
      <alignment horizontal="center"/>
      <protection locked="0"/>
    </xf>
    <xf numFmtId="0" fontId="4" fillId="2" borderId="8" xfId="0" applyFont="1" applyFill="1" applyBorder="1" applyAlignment="1" applyProtection="1">
      <alignment horizontal="center"/>
      <protection locked="0"/>
    </xf>
    <xf numFmtId="0" fontId="0" fillId="2" borderId="9" xfId="0" applyFill="1" applyBorder="1" applyAlignment="1" applyProtection="1">
      <alignment horizontal="left" vertical="center" wrapText="1"/>
      <protection hidden="1"/>
    </xf>
    <xf numFmtId="0" fontId="0" fillId="2" borderId="1" xfId="0" applyFill="1" applyBorder="1" applyAlignment="1" applyProtection="1">
      <alignment horizontal="left" vertical="center" wrapText="1"/>
      <protection hidden="1"/>
    </xf>
    <xf numFmtId="0" fontId="0" fillId="2" borderId="10" xfId="0" applyFill="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7621</xdr:colOff>
      <xdr:row>1</xdr:row>
      <xdr:rowOff>2</xdr:rowOff>
    </xdr:from>
    <xdr:to>
      <xdr:col>21</xdr:col>
      <xdr:colOff>601980</xdr:colOff>
      <xdr:row>13</xdr:row>
      <xdr:rowOff>61196</xdr:rowOff>
    </xdr:to>
    <xdr:pic>
      <xdr:nvPicPr>
        <xdr:cNvPr id="2" name="Picture 1">
          <a:extLst>
            <a:ext uri="{FF2B5EF4-FFF2-40B4-BE49-F238E27FC236}">
              <a16:creationId xmlns:a16="http://schemas.microsoft.com/office/drawing/2014/main" id="{55AC6959-80D2-459F-A2BE-E289748A797E}"/>
            </a:ext>
          </a:extLst>
        </xdr:cNvPr>
        <xdr:cNvPicPr>
          <a:picLocks noChangeAspect="1"/>
        </xdr:cNvPicPr>
      </xdr:nvPicPr>
      <xdr:blipFill rotWithShape="1">
        <a:blip xmlns:r="http://schemas.openxmlformats.org/officeDocument/2006/relationships" r:embed="rId1"/>
        <a:srcRect t="-1" b="66441"/>
        <a:stretch/>
      </xdr:blipFill>
      <xdr:spPr>
        <a:xfrm>
          <a:off x="182881" y="182882"/>
          <a:ext cx="12786359" cy="2255754"/>
        </a:xfrm>
        <a:prstGeom prst="rect">
          <a:avLst/>
        </a:prstGeom>
      </xdr:spPr>
    </xdr:pic>
    <xdr:clientData/>
  </xdr:twoCellAnchor>
  <xdr:twoCellAnchor editAs="oneCell">
    <xdr:from>
      <xdr:col>1</xdr:col>
      <xdr:colOff>68580</xdr:colOff>
      <xdr:row>51</xdr:row>
      <xdr:rowOff>30480</xdr:rowOff>
    </xdr:from>
    <xdr:to>
      <xdr:col>8</xdr:col>
      <xdr:colOff>431765</xdr:colOff>
      <xdr:row>61</xdr:row>
      <xdr:rowOff>160020</xdr:rowOff>
    </xdr:to>
    <xdr:pic>
      <xdr:nvPicPr>
        <xdr:cNvPr id="3" name="Picture 2">
          <a:extLst>
            <a:ext uri="{FF2B5EF4-FFF2-40B4-BE49-F238E27FC236}">
              <a16:creationId xmlns:a16="http://schemas.microsoft.com/office/drawing/2014/main" id="{74592784-B5CC-4B5E-A642-89D6990DC647}"/>
            </a:ext>
          </a:extLst>
        </xdr:cNvPr>
        <xdr:cNvPicPr>
          <a:picLocks noChangeAspect="1"/>
        </xdr:cNvPicPr>
      </xdr:nvPicPr>
      <xdr:blipFill>
        <a:blip xmlns:r="http://schemas.openxmlformats.org/officeDocument/2006/relationships" r:embed="rId2"/>
        <a:stretch>
          <a:fillRect/>
        </a:stretch>
      </xdr:blipFill>
      <xdr:spPr>
        <a:xfrm>
          <a:off x="243840" y="10637520"/>
          <a:ext cx="4630385" cy="195834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mdx.mrooms.net/course/view.php?id=12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E8BED-3521-4A56-82A2-D78FCA8D8294}">
  <dimension ref="B2:V62"/>
  <sheetViews>
    <sheetView tabSelected="1" topLeftCell="A31" workbookViewId="0">
      <selection activeCell="B32" sqref="B32"/>
    </sheetView>
  </sheetViews>
  <sheetFormatPr defaultRowHeight="14.4" x14ac:dyDescent="0.3"/>
  <cols>
    <col min="1" max="1" width="2.5546875" style="4" customWidth="1"/>
    <col min="2" max="16384" width="8.88671875" style="4"/>
  </cols>
  <sheetData>
    <row r="2" spans="2:22" x14ac:dyDescent="0.3">
      <c r="B2" s="1"/>
      <c r="C2" s="2"/>
      <c r="D2" s="2"/>
      <c r="E2" s="2"/>
      <c r="F2" s="2"/>
      <c r="G2" s="2"/>
      <c r="H2" s="2"/>
      <c r="I2" s="2"/>
      <c r="J2" s="2"/>
      <c r="K2" s="2"/>
      <c r="L2" s="2"/>
      <c r="M2" s="2"/>
      <c r="N2" s="2"/>
      <c r="O2" s="2"/>
      <c r="P2" s="2"/>
      <c r="Q2" s="2"/>
      <c r="R2" s="2"/>
      <c r="S2" s="2"/>
      <c r="T2" s="2"/>
      <c r="U2" s="2"/>
      <c r="V2" s="3"/>
    </row>
    <row r="3" spans="2:22" x14ac:dyDescent="0.3">
      <c r="B3" s="5"/>
      <c r="V3" s="6"/>
    </row>
    <row r="4" spans="2:22" x14ac:dyDescent="0.3">
      <c r="B4" s="5"/>
      <c r="V4" s="6"/>
    </row>
    <row r="5" spans="2:22" x14ac:dyDescent="0.3">
      <c r="B5" s="5"/>
      <c r="V5" s="6"/>
    </row>
    <row r="6" spans="2:22" x14ac:dyDescent="0.3">
      <c r="B6" s="5"/>
      <c r="V6" s="6"/>
    </row>
    <row r="7" spans="2:22" x14ac:dyDescent="0.3">
      <c r="B7" s="5"/>
      <c r="V7" s="6"/>
    </row>
    <row r="8" spans="2:22" x14ac:dyDescent="0.3">
      <c r="B8" s="5"/>
      <c r="V8" s="6"/>
    </row>
    <row r="9" spans="2:22" x14ac:dyDescent="0.3">
      <c r="B9" s="5"/>
      <c r="V9" s="6"/>
    </row>
    <row r="10" spans="2:22" x14ac:dyDescent="0.3">
      <c r="B10" s="5"/>
      <c r="V10" s="6"/>
    </row>
    <row r="11" spans="2:22" x14ac:dyDescent="0.3">
      <c r="B11" s="5"/>
      <c r="V11" s="6"/>
    </row>
    <row r="12" spans="2:22" x14ac:dyDescent="0.3">
      <c r="B12" s="5"/>
      <c r="V12" s="6"/>
    </row>
    <row r="13" spans="2:22" x14ac:dyDescent="0.3">
      <c r="B13" s="5"/>
      <c r="V13" s="6"/>
    </row>
    <row r="14" spans="2:22" x14ac:dyDescent="0.3">
      <c r="B14" s="5"/>
      <c r="V14" s="6"/>
    </row>
    <row r="15" spans="2:22" x14ac:dyDescent="0.3">
      <c r="B15" s="5" t="s">
        <v>111</v>
      </c>
      <c r="V15" s="6"/>
    </row>
    <row r="16" spans="2:22" x14ac:dyDescent="0.3">
      <c r="B16" s="5"/>
      <c r="V16" s="6"/>
    </row>
    <row r="17" spans="2:22" x14ac:dyDescent="0.3">
      <c r="B17" s="5" t="s">
        <v>108</v>
      </c>
      <c r="V17" s="6"/>
    </row>
    <row r="18" spans="2:22" x14ac:dyDescent="0.3">
      <c r="B18" s="5"/>
      <c r="V18" s="6"/>
    </row>
    <row r="19" spans="2:22" x14ac:dyDescent="0.3">
      <c r="B19" s="5" t="s">
        <v>112</v>
      </c>
      <c r="V19" s="6"/>
    </row>
    <row r="20" spans="2:22" x14ac:dyDescent="0.3">
      <c r="B20" s="5" t="s">
        <v>113</v>
      </c>
      <c r="V20" s="6"/>
    </row>
    <row r="21" spans="2:22" x14ac:dyDescent="0.3">
      <c r="B21" s="5"/>
      <c r="V21" s="6"/>
    </row>
    <row r="22" spans="2:22" x14ac:dyDescent="0.3">
      <c r="B22" s="5" t="s">
        <v>109</v>
      </c>
      <c r="V22" s="6"/>
    </row>
    <row r="23" spans="2:22" x14ac:dyDescent="0.3">
      <c r="B23" s="5" t="s">
        <v>110</v>
      </c>
      <c r="V23" s="6"/>
    </row>
    <row r="24" spans="2:22" x14ac:dyDescent="0.3">
      <c r="B24" s="5"/>
      <c r="V24" s="6"/>
    </row>
    <row r="25" spans="2:22" x14ac:dyDescent="0.3">
      <c r="B25" s="5" t="s">
        <v>114</v>
      </c>
      <c r="V25" s="6"/>
    </row>
    <row r="26" spans="2:22" x14ac:dyDescent="0.3">
      <c r="B26" s="5"/>
      <c r="V26" s="6"/>
    </row>
    <row r="27" spans="2:22" x14ac:dyDescent="0.3">
      <c r="B27" s="5" t="s">
        <v>115</v>
      </c>
      <c r="V27" s="6"/>
    </row>
    <row r="28" spans="2:22" x14ac:dyDescent="0.3">
      <c r="B28" s="5"/>
      <c r="V28" s="6"/>
    </row>
    <row r="29" spans="2:22" x14ac:dyDescent="0.3">
      <c r="B29" s="5" t="s">
        <v>116</v>
      </c>
      <c r="V29" s="6"/>
    </row>
    <row r="30" spans="2:22" x14ac:dyDescent="0.3">
      <c r="B30" s="5" t="s">
        <v>145</v>
      </c>
      <c r="V30" s="6"/>
    </row>
    <row r="31" spans="2:22" x14ac:dyDescent="0.3">
      <c r="B31" s="5" t="s">
        <v>146</v>
      </c>
      <c r="V31" s="6"/>
    </row>
    <row r="32" spans="2:22" x14ac:dyDescent="0.3">
      <c r="B32" s="5"/>
      <c r="V32" s="6"/>
    </row>
    <row r="33" spans="2:22" x14ac:dyDescent="0.3">
      <c r="B33" s="5" t="s">
        <v>123</v>
      </c>
      <c r="V33" s="6"/>
    </row>
    <row r="34" spans="2:22" x14ac:dyDescent="0.3">
      <c r="B34" s="5" t="s">
        <v>124</v>
      </c>
      <c r="V34" s="6"/>
    </row>
    <row r="35" spans="2:22" x14ac:dyDescent="0.3">
      <c r="B35" s="5"/>
      <c r="C35" s="1" t="s">
        <v>117</v>
      </c>
      <c r="D35" s="2"/>
      <c r="E35" s="2"/>
      <c r="F35" s="2"/>
      <c r="G35" s="2"/>
      <c r="H35" s="2"/>
      <c r="I35" s="2"/>
      <c r="J35" s="2"/>
      <c r="K35" s="2"/>
      <c r="L35" s="2"/>
      <c r="M35" s="2"/>
      <c r="N35" s="3"/>
      <c r="V35" s="6"/>
    </row>
    <row r="36" spans="2:22" x14ac:dyDescent="0.3">
      <c r="B36" s="5"/>
      <c r="C36" s="5" t="s">
        <v>118</v>
      </c>
      <c r="N36" s="6"/>
      <c r="V36" s="6"/>
    </row>
    <row r="37" spans="2:22" x14ac:dyDescent="0.3">
      <c r="B37" s="5"/>
      <c r="C37" s="5" t="s">
        <v>119</v>
      </c>
      <c r="N37" s="6"/>
      <c r="V37" s="6"/>
    </row>
    <row r="38" spans="2:22" x14ac:dyDescent="0.3">
      <c r="B38" s="5"/>
      <c r="C38" s="7" t="s">
        <v>120</v>
      </c>
      <c r="D38" s="8"/>
      <c r="E38" s="8"/>
      <c r="F38" s="8"/>
      <c r="G38" s="8"/>
      <c r="H38" s="8"/>
      <c r="I38" s="8"/>
      <c r="J38" s="8"/>
      <c r="K38" s="8"/>
      <c r="L38" s="8"/>
      <c r="M38" s="8"/>
      <c r="N38" s="9"/>
      <c r="V38" s="6"/>
    </row>
    <row r="39" spans="2:22" x14ac:dyDescent="0.3">
      <c r="B39" s="5" t="s">
        <v>121</v>
      </c>
      <c r="V39" s="6"/>
    </row>
    <row r="40" spans="2:22" x14ac:dyDescent="0.3">
      <c r="B40" s="5"/>
      <c r="V40" s="6"/>
    </row>
    <row r="41" spans="2:22" x14ac:dyDescent="0.3">
      <c r="B41" s="5" t="s">
        <v>140</v>
      </c>
      <c r="V41" s="6"/>
    </row>
    <row r="42" spans="2:22" x14ac:dyDescent="0.3">
      <c r="B42" s="97" t="s">
        <v>141</v>
      </c>
      <c r="V42" s="6"/>
    </row>
    <row r="43" spans="2:22" x14ac:dyDescent="0.3">
      <c r="B43" s="5" t="s">
        <v>143</v>
      </c>
      <c r="V43" s="6"/>
    </row>
    <row r="44" spans="2:22" x14ac:dyDescent="0.3">
      <c r="B44" s="5"/>
      <c r="V44" s="6"/>
    </row>
    <row r="45" spans="2:22" x14ac:dyDescent="0.3">
      <c r="B45" s="5" t="s">
        <v>142</v>
      </c>
      <c r="V45" s="6"/>
    </row>
    <row r="46" spans="2:22" x14ac:dyDescent="0.3">
      <c r="B46" s="5" t="s">
        <v>139</v>
      </c>
      <c r="V46" s="6"/>
    </row>
    <row r="47" spans="2:22" x14ac:dyDescent="0.3">
      <c r="B47" s="5"/>
      <c r="V47" s="6"/>
    </row>
    <row r="48" spans="2:22" x14ac:dyDescent="0.3">
      <c r="B48" s="5" t="s">
        <v>144</v>
      </c>
      <c r="V48" s="6"/>
    </row>
    <row r="49" spans="2:22" x14ac:dyDescent="0.3">
      <c r="B49" s="5"/>
      <c r="V49" s="6"/>
    </row>
    <row r="50" spans="2:22" x14ac:dyDescent="0.3">
      <c r="B50" s="5" t="s">
        <v>122</v>
      </c>
      <c r="V50" s="6"/>
    </row>
    <row r="51" spans="2:22" x14ac:dyDescent="0.3">
      <c r="B51" s="5"/>
      <c r="V51" s="6"/>
    </row>
    <row r="52" spans="2:22" x14ac:dyDescent="0.3">
      <c r="B52" s="5"/>
      <c r="V52" s="6"/>
    </row>
    <row r="53" spans="2:22" x14ac:dyDescent="0.3">
      <c r="B53" s="5"/>
      <c r="V53" s="6"/>
    </row>
    <row r="54" spans="2:22" x14ac:dyDescent="0.3">
      <c r="B54" s="5"/>
      <c r="V54" s="6"/>
    </row>
    <row r="55" spans="2:22" x14ac:dyDescent="0.3">
      <c r="B55" s="5"/>
      <c r="V55" s="6"/>
    </row>
    <row r="56" spans="2:22" x14ac:dyDescent="0.3">
      <c r="B56" s="5"/>
      <c r="V56" s="6"/>
    </row>
    <row r="57" spans="2:22" x14ac:dyDescent="0.3">
      <c r="B57" s="5"/>
      <c r="V57" s="6"/>
    </row>
    <row r="58" spans="2:22" x14ac:dyDescent="0.3">
      <c r="B58" s="5"/>
      <c r="V58" s="6"/>
    </row>
    <row r="59" spans="2:22" x14ac:dyDescent="0.3">
      <c r="B59" s="5"/>
      <c r="V59" s="6"/>
    </row>
    <row r="60" spans="2:22" x14ac:dyDescent="0.3">
      <c r="B60" s="5"/>
      <c r="V60" s="6"/>
    </row>
    <row r="61" spans="2:22" x14ac:dyDescent="0.3">
      <c r="B61" s="5"/>
      <c r="V61" s="6"/>
    </row>
    <row r="62" spans="2:22" x14ac:dyDescent="0.3">
      <c r="B62" s="7"/>
      <c r="C62" s="8"/>
      <c r="D62" s="8"/>
      <c r="E62" s="8"/>
      <c r="F62" s="8"/>
      <c r="G62" s="8"/>
      <c r="H62" s="8"/>
      <c r="I62" s="8"/>
      <c r="J62" s="8"/>
      <c r="K62" s="8"/>
      <c r="L62" s="8"/>
      <c r="M62" s="8"/>
      <c r="N62" s="8"/>
      <c r="O62" s="8"/>
      <c r="P62" s="8"/>
      <c r="Q62" s="8"/>
      <c r="R62" s="8"/>
      <c r="S62" s="8"/>
      <c r="T62" s="8"/>
      <c r="U62" s="8"/>
      <c r="V62" s="9"/>
    </row>
  </sheetData>
  <hyperlinks>
    <hyperlink ref="B42" r:id="rId1" xr:uid="{FB86FA1E-331B-4C75-ACB1-D9E6E1578C5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94D7F-063D-4C90-8565-FD4657BDA749}">
  <dimension ref="B2:E68"/>
  <sheetViews>
    <sheetView topLeftCell="A45" workbookViewId="0">
      <selection activeCell="G13" sqref="G13"/>
    </sheetView>
  </sheetViews>
  <sheetFormatPr defaultRowHeight="14.4" x14ac:dyDescent="0.3"/>
  <cols>
    <col min="1" max="1" width="2" style="4" customWidth="1"/>
    <col min="2" max="2" width="23.21875" style="4" customWidth="1"/>
    <col min="3" max="3" width="10.44140625" style="4" customWidth="1"/>
    <col min="4" max="4" width="8" style="4" customWidth="1"/>
    <col min="5" max="16384" width="8.88671875" style="4"/>
  </cols>
  <sheetData>
    <row r="2" spans="2:5" x14ac:dyDescent="0.3">
      <c r="B2" s="4" t="s">
        <v>97</v>
      </c>
    </row>
    <row r="4" spans="2:5" x14ac:dyDescent="0.3">
      <c r="B4" s="4" t="s">
        <v>100</v>
      </c>
    </row>
    <row r="5" spans="2:5" x14ac:dyDescent="0.3">
      <c r="B5" s="10" t="s">
        <v>98</v>
      </c>
    </row>
    <row r="6" spans="2:5" x14ac:dyDescent="0.3">
      <c r="B6" s="10" t="s">
        <v>99</v>
      </c>
    </row>
    <row r="7" spans="2:5" x14ac:dyDescent="0.3">
      <c r="B7" s="10"/>
    </row>
    <row r="8" spans="2:5" x14ac:dyDescent="0.3">
      <c r="B8" s="10" t="s">
        <v>30</v>
      </c>
    </row>
    <row r="10" spans="2:5" x14ac:dyDescent="0.3">
      <c r="B10" s="100" t="s">
        <v>96</v>
      </c>
      <c r="C10" s="101"/>
      <c r="D10" s="101"/>
      <c r="E10" s="102"/>
    </row>
    <row r="11" spans="2:5" x14ac:dyDescent="0.3">
      <c r="B11" s="103" t="s">
        <v>50</v>
      </c>
      <c r="C11" s="104"/>
      <c r="D11" s="104"/>
      <c r="E11" s="105"/>
    </row>
    <row r="12" spans="2:5" x14ac:dyDescent="0.3">
      <c r="B12" s="5"/>
      <c r="C12" s="11" t="s">
        <v>66</v>
      </c>
      <c r="D12" s="11" t="s">
        <v>66</v>
      </c>
      <c r="E12" s="12" t="s">
        <v>31</v>
      </c>
    </row>
    <row r="13" spans="2:5" x14ac:dyDescent="0.3">
      <c r="B13" s="5" t="s">
        <v>0</v>
      </c>
      <c r="C13" s="13"/>
      <c r="D13" s="13">
        <v>60000</v>
      </c>
      <c r="E13" s="14">
        <v>1</v>
      </c>
    </row>
    <row r="14" spans="2:5" x14ac:dyDescent="0.3">
      <c r="B14" s="5" t="s">
        <v>1</v>
      </c>
      <c r="C14" s="13"/>
      <c r="D14" s="13">
        <v>-12000</v>
      </c>
      <c r="E14" s="14">
        <v>2</v>
      </c>
    </row>
    <row r="15" spans="2:5" x14ac:dyDescent="0.3">
      <c r="B15" s="15" t="s">
        <v>3</v>
      </c>
      <c r="C15" s="13"/>
      <c r="D15" s="16">
        <f>SUM(D13:D14)</f>
        <v>48000</v>
      </c>
      <c r="E15" s="14"/>
    </row>
    <row r="16" spans="2:5" x14ac:dyDescent="0.3">
      <c r="B16" s="5" t="s">
        <v>4</v>
      </c>
      <c r="C16" s="13"/>
      <c r="D16" s="13">
        <v>300</v>
      </c>
      <c r="E16" s="14"/>
    </row>
    <row r="17" spans="2:5" x14ac:dyDescent="0.3">
      <c r="B17" s="5"/>
      <c r="C17" s="13"/>
      <c r="D17" s="17">
        <f>SUM(D15:D16)</f>
        <v>48300</v>
      </c>
      <c r="E17" s="14"/>
    </row>
    <row r="18" spans="2:5" x14ac:dyDescent="0.3">
      <c r="B18" s="5" t="s">
        <v>32</v>
      </c>
      <c r="C18" s="13">
        <v>4800</v>
      </c>
      <c r="D18" s="13"/>
      <c r="E18" s="14">
        <v>3</v>
      </c>
    </row>
    <row r="19" spans="2:5" x14ac:dyDescent="0.3">
      <c r="B19" s="5" t="s">
        <v>7</v>
      </c>
      <c r="C19" s="13">
        <v>1500</v>
      </c>
      <c r="D19" s="13"/>
      <c r="E19" s="14">
        <v>4</v>
      </c>
    </row>
    <row r="20" spans="2:5" x14ac:dyDescent="0.3">
      <c r="B20" s="5" t="s">
        <v>8</v>
      </c>
      <c r="C20" s="13">
        <v>17000</v>
      </c>
      <c r="D20" s="13"/>
      <c r="E20" s="14">
        <v>5</v>
      </c>
    </row>
    <row r="21" spans="2:5" x14ac:dyDescent="0.3">
      <c r="B21" s="5" t="s">
        <v>9</v>
      </c>
      <c r="C21" s="13">
        <v>900</v>
      </c>
      <c r="D21" s="13"/>
      <c r="E21" s="14">
        <v>6</v>
      </c>
    </row>
    <row r="22" spans="2:5" x14ac:dyDescent="0.3">
      <c r="B22" s="5" t="s">
        <v>10</v>
      </c>
      <c r="C22" s="18">
        <v>9000</v>
      </c>
      <c r="D22" s="13"/>
      <c r="E22" s="14">
        <v>7</v>
      </c>
    </row>
    <row r="23" spans="2:5" x14ac:dyDescent="0.3">
      <c r="B23" s="5"/>
      <c r="C23" s="13"/>
      <c r="D23" s="13">
        <f>-SUM(C18:C22)</f>
        <v>-33200</v>
      </c>
      <c r="E23" s="19"/>
    </row>
    <row r="24" spans="2:5" ht="15" thickBot="1" x14ac:dyDescent="0.35">
      <c r="B24" s="15" t="s">
        <v>11</v>
      </c>
      <c r="C24" s="20"/>
      <c r="D24" s="21">
        <f>SUM(D17:D23)</f>
        <v>15100</v>
      </c>
      <c r="E24" s="6"/>
    </row>
    <row r="25" spans="2:5" ht="15" thickTop="1" x14ac:dyDescent="0.3">
      <c r="B25" s="7"/>
      <c r="C25" s="8"/>
      <c r="D25" s="8"/>
      <c r="E25" s="9"/>
    </row>
    <row r="27" spans="2:5" x14ac:dyDescent="0.3">
      <c r="B27" s="22" t="s">
        <v>33</v>
      </c>
    </row>
    <row r="28" spans="2:5" x14ac:dyDescent="0.3">
      <c r="B28" s="23" t="s">
        <v>73</v>
      </c>
    </row>
    <row r="29" spans="2:5" ht="7.8" customHeight="1" x14ac:dyDescent="0.3">
      <c r="B29" s="23"/>
    </row>
    <row r="30" spans="2:5" x14ac:dyDescent="0.3">
      <c r="B30" s="23" t="s">
        <v>74</v>
      </c>
    </row>
    <row r="31" spans="2:5" x14ac:dyDescent="0.3">
      <c r="B31" s="23"/>
    </row>
    <row r="32" spans="2:5" x14ac:dyDescent="0.3">
      <c r="B32" s="22" t="s">
        <v>34</v>
      </c>
    </row>
    <row r="33" spans="2:5" x14ac:dyDescent="0.3">
      <c r="B33" s="23" t="s">
        <v>35</v>
      </c>
    </row>
    <row r="34" spans="2:5" x14ac:dyDescent="0.3">
      <c r="B34" s="23" t="s">
        <v>36</v>
      </c>
      <c r="E34" s="13">
        <v>13200</v>
      </c>
    </row>
    <row r="35" spans="2:5" x14ac:dyDescent="0.3">
      <c r="B35" s="23" t="s">
        <v>37</v>
      </c>
      <c r="E35" s="13">
        <v>-12000</v>
      </c>
    </row>
    <row r="36" spans="2:5" x14ac:dyDescent="0.3">
      <c r="B36" s="23" t="s">
        <v>38</v>
      </c>
      <c r="E36" s="13">
        <f>SUM(E34:E35)</f>
        <v>1200</v>
      </c>
    </row>
    <row r="37" spans="2:5" x14ac:dyDescent="0.3">
      <c r="B37" s="23" t="s">
        <v>39</v>
      </c>
      <c r="E37" s="13">
        <v>2600</v>
      </c>
    </row>
    <row r="38" spans="2:5" x14ac:dyDescent="0.3">
      <c r="B38" s="23"/>
      <c r="E38" s="13"/>
    </row>
    <row r="39" spans="2:5" x14ac:dyDescent="0.3">
      <c r="B39" s="22" t="s">
        <v>40</v>
      </c>
    </row>
    <row r="40" spans="2:5" x14ac:dyDescent="0.3">
      <c r="B40" s="23" t="s">
        <v>41</v>
      </c>
    </row>
    <row r="41" spans="2:5" x14ac:dyDescent="0.3">
      <c r="B41" s="23"/>
    </row>
    <row r="42" spans="2:5" x14ac:dyDescent="0.3">
      <c r="B42" s="22" t="s">
        <v>42</v>
      </c>
    </row>
    <row r="43" spans="2:5" x14ac:dyDescent="0.3">
      <c r="B43" s="23" t="s">
        <v>43</v>
      </c>
    </row>
    <row r="44" spans="2:5" x14ac:dyDescent="0.3">
      <c r="B44" s="23"/>
    </row>
    <row r="45" spans="2:5" x14ac:dyDescent="0.3">
      <c r="B45" s="22" t="s">
        <v>44</v>
      </c>
    </row>
    <row r="46" spans="2:5" x14ac:dyDescent="0.3">
      <c r="B46" s="24" t="s">
        <v>45</v>
      </c>
    </row>
    <row r="47" spans="2:5" x14ac:dyDescent="0.3">
      <c r="B47" s="23" t="s">
        <v>85</v>
      </c>
      <c r="E47" s="13">
        <v>11000</v>
      </c>
    </row>
    <row r="48" spans="2:5" x14ac:dyDescent="0.3">
      <c r="B48" s="23" t="s">
        <v>84</v>
      </c>
      <c r="E48" s="98">
        <v>6000</v>
      </c>
    </row>
    <row r="49" spans="2:5" x14ac:dyDescent="0.3">
      <c r="B49" s="25" t="s">
        <v>83</v>
      </c>
      <c r="E49" s="99"/>
    </row>
    <row r="50" spans="2:5" ht="15" thickBot="1" x14ac:dyDescent="0.35">
      <c r="B50" s="25"/>
      <c r="E50" s="21">
        <f>SUM(E47:E48)</f>
        <v>17000</v>
      </c>
    </row>
    <row r="51" spans="2:5" ht="15" thickTop="1" x14ac:dyDescent="0.3">
      <c r="B51" s="25"/>
      <c r="E51" s="20"/>
    </row>
    <row r="52" spans="2:5" x14ac:dyDescent="0.3">
      <c r="B52" s="22" t="s">
        <v>71</v>
      </c>
    </row>
    <row r="53" spans="2:5" x14ac:dyDescent="0.3">
      <c r="B53" s="23" t="s">
        <v>72</v>
      </c>
    </row>
    <row r="54" spans="2:5" x14ac:dyDescent="0.3">
      <c r="B54" s="10"/>
    </row>
    <row r="55" spans="2:5" x14ac:dyDescent="0.3">
      <c r="B55" s="22" t="s">
        <v>46</v>
      </c>
    </row>
    <row r="56" spans="2:5" x14ac:dyDescent="0.3">
      <c r="B56" s="23" t="s">
        <v>47</v>
      </c>
    </row>
    <row r="57" spans="2:5" x14ac:dyDescent="0.3">
      <c r="B57" s="23"/>
    </row>
    <row r="58" spans="2:5" x14ac:dyDescent="0.3">
      <c r="B58" s="26" t="s">
        <v>101</v>
      </c>
    </row>
    <row r="59" spans="2:5" x14ac:dyDescent="0.3">
      <c r="B59" s="26"/>
    </row>
    <row r="60" spans="2:5" x14ac:dyDescent="0.3">
      <c r="B60" s="10" t="s">
        <v>102</v>
      </c>
    </row>
    <row r="61" spans="2:5" x14ac:dyDescent="0.3">
      <c r="B61" s="4" t="s">
        <v>103</v>
      </c>
    </row>
    <row r="62" spans="2:5" x14ac:dyDescent="0.3">
      <c r="B62" s="4" t="s">
        <v>104</v>
      </c>
    </row>
    <row r="63" spans="2:5" x14ac:dyDescent="0.3">
      <c r="B63" s="4" t="s">
        <v>105</v>
      </c>
    </row>
    <row r="65" spans="2:2" x14ac:dyDescent="0.3">
      <c r="B65" s="4" t="s">
        <v>106</v>
      </c>
    </row>
    <row r="67" spans="2:2" x14ac:dyDescent="0.3">
      <c r="B67" s="4" t="s">
        <v>48</v>
      </c>
    </row>
    <row r="68" spans="2:2" x14ac:dyDescent="0.3">
      <c r="B68" s="4" t="s">
        <v>107</v>
      </c>
    </row>
  </sheetData>
  <sheetProtection algorithmName="SHA-512" hashValue="brX/8E3k/hnHfbhb79HAd6XP5rnFHBy73gc0ts0yyKUysr1s0jdqD5IvjmVYByRO5HRIp1oCLaE67niI4r3eWg==" saltValue="Uxai81i3ctLaa3n472qrvA==" spinCount="100000" sheet="1" objects="1" scenarios="1"/>
  <mergeCells count="3">
    <mergeCell ref="E48:E49"/>
    <mergeCell ref="B10:E10"/>
    <mergeCell ref="B11:E1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03FB-BAF7-4D05-BED4-188827ADD155}">
  <dimension ref="B2:Q44"/>
  <sheetViews>
    <sheetView workbookViewId="0">
      <selection activeCell="E10" sqref="E10"/>
    </sheetView>
  </sheetViews>
  <sheetFormatPr defaultRowHeight="14.4" x14ac:dyDescent="0.3"/>
  <cols>
    <col min="1" max="1" width="8.88671875" style="4"/>
    <col min="2" max="2" width="19" style="4" bestFit="1" customWidth="1"/>
    <col min="3" max="3" width="15.33203125" style="4" customWidth="1"/>
    <col min="4" max="4" width="9" style="4" customWidth="1"/>
    <col min="5" max="5" width="9.88671875" style="4" customWidth="1"/>
    <col min="6" max="7" width="2" style="4" customWidth="1"/>
    <col min="8" max="8" width="1.88671875" style="4" customWidth="1"/>
    <col min="9" max="13" width="12.21875" style="4" customWidth="1"/>
    <col min="14" max="14" width="17.44140625" style="4" customWidth="1"/>
    <col min="15" max="15" width="18.44140625" style="4" customWidth="1"/>
    <col min="16" max="16" width="12.21875" style="4" customWidth="1"/>
    <col min="17" max="17" width="21.5546875" style="4" customWidth="1"/>
    <col min="18" max="16384" width="8.88671875" style="4"/>
  </cols>
  <sheetData>
    <row r="2" spans="2:17" ht="15.6" x14ac:dyDescent="0.3">
      <c r="B2" s="109" t="s">
        <v>95</v>
      </c>
      <c r="C2" s="110"/>
      <c r="D2" s="110"/>
      <c r="E2" s="110"/>
      <c r="F2" s="3"/>
      <c r="I2" s="111" t="s">
        <v>82</v>
      </c>
      <c r="J2" s="112"/>
      <c r="K2" s="112"/>
      <c r="L2" s="112"/>
      <c r="M2" s="112"/>
      <c r="N2" s="112"/>
      <c r="O2" s="112"/>
      <c r="P2" s="112"/>
      <c r="Q2" s="113"/>
    </row>
    <row r="3" spans="2:17" x14ac:dyDescent="0.3">
      <c r="B3" s="103" t="s">
        <v>75</v>
      </c>
      <c r="C3" s="104"/>
      <c r="D3" s="104"/>
      <c r="E3" s="104"/>
      <c r="F3" s="6"/>
      <c r="I3" s="88"/>
      <c r="J3" s="89"/>
      <c r="K3" s="89"/>
      <c r="L3" s="89"/>
      <c r="M3" s="89"/>
      <c r="N3" s="89"/>
      <c r="O3" s="89"/>
      <c r="P3" s="89"/>
      <c r="Q3" s="90"/>
    </row>
    <row r="4" spans="2:17" x14ac:dyDescent="0.3">
      <c r="B4" s="5"/>
      <c r="F4" s="6"/>
      <c r="I4" s="88"/>
      <c r="J4" s="89"/>
      <c r="K4" s="89"/>
      <c r="L4" s="89"/>
      <c r="M4" s="89"/>
      <c r="N4" s="89"/>
      <c r="O4" s="89"/>
      <c r="P4" s="89"/>
      <c r="Q4" s="90"/>
    </row>
    <row r="5" spans="2:17" ht="15.6" x14ac:dyDescent="0.3">
      <c r="B5" s="27"/>
      <c r="C5" s="28"/>
      <c r="D5" s="29" t="s">
        <v>66</v>
      </c>
      <c r="E5" s="29" t="s">
        <v>66</v>
      </c>
      <c r="F5" s="6"/>
      <c r="I5" s="88"/>
      <c r="J5" s="89"/>
      <c r="K5" s="89"/>
      <c r="L5" s="89"/>
      <c r="M5" s="89"/>
      <c r="N5" s="89"/>
      <c r="O5" s="89"/>
      <c r="P5" s="89"/>
      <c r="Q5" s="90"/>
    </row>
    <row r="6" spans="2:17" ht="33" customHeight="1" x14ac:dyDescent="0.3">
      <c r="B6" s="30" t="s">
        <v>0</v>
      </c>
      <c r="C6" s="31"/>
      <c r="D6" s="32"/>
      <c r="E6" s="33"/>
      <c r="F6" s="6"/>
      <c r="I6" s="106" t="str">
        <f>_xlfn.IFS(E6="","Please enter a sales figure in cell E6. You should use an Excel formula to show your working.",E6=67000,"Correct. Under the accruals basis, the total sales figure includes cash sales of £60,000 and credit sales of £7,000.",TRUE,"£"&amp;(67000-E6)&amp;" difference from the correct answer. Look at the client document again, especially the sales figures reported the under cash basis and Note 1. Have you included all cash and credit sales?.")</f>
        <v>Please enter a sales figure in cell E6. You should use an Excel formula to show your working.</v>
      </c>
      <c r="J6" s="107"/>
      <c r="K6" s="107"/>
      <c r="L6" s="107"/>
      <c r="M6" s="107"/>
      <c r="N6" s="107"/>
      <c r="O6" s="107"/>
      <c r="P6" s="107"/>
      <c r="Q6" s="108"/>
    </row>
    <row r="7" spans="2:17" ht="33" customHeight="1" x14ac:dyDescent="0.3">
      <c r="B7" s="30" t="s">
        <v>76</v>
      </c>
      <c r="C7" s="34"/>
      <c r="D7" s="32"/>
      <c r="E7" s="33"/>
      <c r="F7" s="6"/>
      <c r="I7" s="91" t="s">
        <v>81</v>
      </c>
      <c r="J7" s="89"/>
      <c r="K7" s="89"/>
      <c r="L7" s="89"/>
      <c r="M7" s="89"/>
      <c r="N7" s="89"/>
      <c r="O7" s="89"/>
      <c r="P7" s="89"/>
      <c r="Q7" s="90"/>
    </row>
    <row r="8" spans="2:17" ht="33" customHeight="1" x14ac:dyDescent="0.3">
      <c r="B8" s="35" t="s">
        <v>1</v>
      </c>
      <c r="C8" s="34"/>
      <c r="D8" s="32"/>
      <c r="E8" s="33"/>
      <c r="F8" s="6"/>
      <c r="I8" s="106" t="str">
        <f>_xlfn.IFS(D8="","Please enter a purchases figure in cell D8.",D8=13200,"Correct. Under the accruals basis, total purchases include cash and credit purchases incurred in the year.",TRUE,"£"&amp;(13200-D8)&amp;" difference from the correct answer. Look at the client document again, especially Note 2. Have you included all cash and credit purchases?")</f>
        <v>Please enter a purchases figure in cell D8.</v>
      </c>
      <c r="J8" s="107"/>
      <c r="K8" s="107"/>
      <c r="L8" s="107"/>
      <c r="M8" s="107"/>
      <c r="N8" s="107"/>
      <c r="O8" s="107"/>
      <c r="P8" s="107"/>
      <c r="Q8" s="108"/>
    </row>
    <row r="9" spans="2:17" ht="33" customHeight="1" x14ac:dyDescent="0.3">
      <c r="B9" s="35" t="s">
        <v>77</v>
      </c>
      <c r="C9" s="34"/>
      <c r="D9" s="36"/>
      <c r="E9" s="33"/>
      <c r="F9" s="6"/>
      <c r="I9" s="91" t="str">
        <f>_xlfn.IFS(D9="","Please enter a closing inventory figure in cell D9.",D9=2600,"Correct.",TRUE,"£"&amp;(2600-D9)&amp;" difference from the correct answer. Look at the client document again, especially Note 2. enter this figure as a positive figure.")</f>
        <v>Please enter a closing inventory figure in cell D9.</v>
      </c>
      <c r="J9" s="89"/>
      <c r="K9" s="89"/>
      <c r="L9" s="89"/>
      <c r="M9" s="89"/>
      <c r="N9" s="89"/>
      <c r="O9" s="89"/>
      <c r="P9" s="89"/>
      <c r="Q9" s="90"/>
    </row>
    <row r="10" spans="2:17" ht="33" customHeight="1" x14ac:dyDescent="0.3">
      <c r="B10" s="30" t="s">
        <v>2</v>
      </c>
      <c r="C10" s="34"/>
      <c r="D10" s="32"/>
      <c r="E10" s="37"/>
      <c r="F10" s="6"/>
      <c r="I10" s="91" t="str">
        <f>_xlfn.IFS(E10="","Please enter a cost of sales figure in cell E10. You should use an Excel formula to calculate cost of sales",E10=10600,"Correct.",TRUE,"£"&amp;(10600-E10)&amp;" difference from the correct answer. Check your formula, and all the figures should be entered as positive figures.")</f>
        <v>Please enter a cost of sales figure in cell E10. You should use an Excel formula to calculate cost of sales</v>
      </c>
      <c r="J10" s="89"/>
      <c r="K10" s="89"/>
      <c r="L10" s="89"/>
      <c r="M10" s="89"/>
      <c r="N10" s="89"/>
      <c r="O10" s="89"/>
      <c r="P10" s="89"/>
      <c r="Q10" s="90"/>
    </row>
    <row r="11" spans="2:17" ht="33" customHeight="1" x14ac:dyDescent="0.3">
      <c r="B11" s="30" t="s">
        <v>3</v>
      </c>
      <c r="C11" s="34"/>
      <c r="D11" s="32"/>
      <c r="E11" s="33"/>
      <c r="F11" s="6"/>
      <c r="I11" s="91" t="str">
        <f>_xlfn.IFS(E11="","Please enter a gross profit figure in cell E11.",E11=56400,"Correct.",TRUE,"£"&amp;(56400-E11)&amp;" difference from the correct answer.")</f>
        <v>Please enter a gross profit figure in cell E11.</v>
      </c>
      <c r="J11" s="89"/>
      <c r="K11" s="89"/>
      <c r="L11" s="89"/>
      <c r="M11" s="89"/>
      <c r="N11" s="89"/>
      <c r="O11" s="89"/>
      <c r="P11" s="89"/>
      <c r="Q11" s="90"/>
    </row>
    <row r="12" spans="2:17" ht="33" customHeight="1" x14ac:dyDescent="0.3">
      <c r="B12" s="30" t="s">
        <v>4</v>
      </c>
      <c r="C12" s="34"/>
      <c r="D12" s="36"/>
      <c r="E12" s="33"/>
      <c r="F12" s="6"/>
      <c r="I12" s="91" t="str">
        <f>_xlfn.IFS(D12="","Please enter a figure in cell D12.",D12=300,"Correct.",TRUE,"£"&amp;(300-D12)&amp;" difference from the correct answer. Look at the client document again.")</f>
        <v>Please enter a figure in cell D12.</v>
      </c>
      <c r="J12" s="89"/>
      <c r="K12" s="89"/>
      <c r="L12" s="89"/>
      <c r="M12" s="89"/>
      <c r="N12" s="89"/>
      <c r="O12" s="89"/>
      <c r="P12" s="89"/>
      <c r="Q12" s="90"/>
    </row>
    <row r="13" spans="2:17" ht="33" customHeight="1" x14ac:dyDescent="0.3">
      <c r="B13" s="30" t="s">
        <v>78</v>
      </c>
      <c r="C13" s="34"/>
      <c r="D13" s="32"/>
      <c r="E13" s="33"/>
      <c r="F13" s="6"/>
      <c r="I13" s="91" t="str">
        <f>_xlfn.IFS(E13="","Please enter a total income figure in cell E13. You should use an Excel formula to caculate total income",E13=56700,"Correct.",TRUE,"£"&amp;(56700-E13)&amp;" difference from the correct answer.")</f>
        <v>Please enter a total income figure in cell E13. You should use an Excel formula to caculate total income</v>
      </c>
      <c r="J13" s="89"/>
      <c r="K13" s="89"/>
      <c r="L13" s="89"/>
      <c r="M13" s="89"/>
      <c r="N13" s="89"/>
      <c r="O13" s="89"/>
      <c r="P13" s="89"/>
      <c r="Q13" s="90"/>
    </row>
    <row r="14" spans="2:17" ht="33" customHeight="1" x14ac:dyDescent="0.3">
      <c r="B14" s="30" t="s">
        <v>79</v>
      </c>
      <c r="C14" s="34"/>
      <c r="D14" s="32"/>
      <c r="E14" s="33"/>
      <c r="F14" s="6"/>
      <c r="I14" s="91" t="s">
        <v>81</v>
      </c>
      <c r="J14" s="89"/>
      <c r="K14" s="89"/>
      <c r="L14" s="89"/>
      <c r="M14" s="89"/>
      <c r="N14" s="89"/>
      <c r="O14" s="89"/>
      <c r="P14" s="89"/>
      <c r="Q14" s="90"/>
    </row>
    <row r="15" spans="2:17" ht="33" customHeight="1" x14ac:dyDescent="0.3">
      <c r="B15" s="35" t="s">
        <v>5</v>
      </c>
      <c r="C15" s="34"/>
      <c r="D15" s="32"/>
      <c r="E15" s="33"/>
      <c r="F15" s="6"/>
      <c r="I15" s="91" t="str">
        <f>_xlfn.IFS(D15="","Please enter a depreciation figure in cell D15 as a positive figure. You should use an Excel formula to show how you calculated the depreciation expense.",D15=960,"Correct.",TRUE,"£"&amp;(960-D15)&amp;" difference from the correct answer. Look at the client document again, especially Note 3.")</f>
        <v>Please enter a depreciation figure in cell D15 as a positive figure. You should use an Excel formula to show how you calculated the depreciation expense.</v>
      </c>
      <c r="J15" s="89"/>
      <c r="K15" s="89"/>
      <c r="L15" s="89"/>
      <c r="M15" s="89"/>
      <c r="N15" s="89"/>
      <c r="O15" s="89"/>
      <c r="P15" s="89"/>
      <c r="Q15" s="90"/>
    </row>
    <row r="16" spans="2:17" ht="33" customHeight="1" x14ac:dyDescent="0.3">
      <c r="B16" s="35" t="s">
        <v>6</v>
      </c>
      <c r="C16" s="34"/>
      <c r="D16" s="32"/>
      <c r="E16" s="33"/>
      <c r="F16" s="6"/>
      <c r="I16" s="91" t="str">
        <f>_xlfn.IFS(D16="","Please enter a doubtful debt figure in cell D16 as a positive figure. ",D16=700,"Correct.",TRUE,"£"&amp;(700-D16)&amp;" difference from the correct answer. Look at the client document again, especially Note 1.")</f>
        <v xml:space="preserve">Please enter a doubtful debt figure in cell D16 as a positive figure. </v>
      </c>
      <c r="J16" s="89"/>
      <c r="K16" s="89"/>
      <c r="L16" s="89"/>
      <c r="M16" s="89"/>
      <c r="N16" s="89"/>
      <c r="O16" s="89"/>
      <c r="P16" s="89"/>
      <c r="Q16" s="90"/>
    </row>
    <row r="17" spans="2:17" ht="33" customHeight="1" x14ac:dyDescent="0.3">
      <c r="B17" s="35" t="s">
        <v>7</v>
      </c>
      <c r="C17" s="34"/>
      <c r="D17" s="32"/>
      <c r="E17" s="33"/>
      <c r="F17" s="6"/>
      <c r="I17" s="106" t="str">
        <f>_xlfn.IFS(D17="","Please enter a rent figure in cell D17 as a positive figure. ",D17=1000,"Correct.",TRUE,"£"&amp;(1000-D17)&amp;" difference from the correct answer. Look at the client document again, especially Note 4, remember prepayment rules covered in ACC1110 module? We should only recognise 12 months' rent in this accounting year.")</f>
        <v xml:space="preserve">Please enter a rent figure in cell D17 as a positive figure. </v>
      </c>
      <c r="J17" s="107"/>
      <c r="K17" s="107"/>
      <c r="L17" s="107"/>
      <c r="M17" s="107"/>
      <c r="N17" s="107"/>
      <c r="O17" s="107"/>
      <c r="P17" s="107"/>
      <c r="Q17" s="108"/>
    </row>
    <row r="18" spans="2:17" ht="33" customHeight="1" x14ac:dyDescent="0.3">
      <c r="B18" s="35" t="s">
        <v>8</v>
      </c>
      <c r="C18" s="34"/>
      <c r="D18" s="32"/>
      <c r="E18" s="33"/>
      <c r="F18" s="6"/>
      <c r="I18" s="106" t="str">
        <f>_xlfn.IFS(D18="","Please enter a wage and salaries figure in cell D18 as a positive figure. ",D18=11000,"Correct.",TRUE,"£"&amp;(11000-D18)&amp;" difference from the correct answer. Look at the client document again, especially Note 5 - remember: Drawings should not be counted as salaries or wages - this was covered in ACC1110 module.")</f>
        <v xml:space="preserve">Please enter a wage and salaries figure in cell D18 as a positive figure. </v>
      </c>
      <c r="J18" s="107"/>
      <c r="K18" s="107"/>
      <c r="L18" s="107"/>
      <c r="M18" s="107"/>
      <c r="N18" s="107"/>
      <c r="O18" s="107"/>
      <c r="P18" s="107"/>
      <c r="Q18" s="108"/>
    </row>
    <row r="19" spans="2:17" ht="33" customHeight="1" x14ac:dyDescent="0.3">
      <c r="B19" s="35" t="s">
        <v>9</v>
      </c>
      <c r="C19" s="34"/>
      <c r="D19" s="32"/>
      <c r="E19" s="33"/>
      <c r="F19" s="6"/>
      <c r="I19" s="91" t="str">
        <f>_xlfn.IFS(D19="","Please enter a gas and electricity figure in cell D19 as a positive figure. ",D19=1040,"Correct.",TRUE,"£"&amp;(1040-D19)&amp;" difference from the correct answer. Look at Note 6 from the client document again. Remember the Accruals concept covered in ACC1110 module?")</f>
        <v xml:space="preserve">Please enter a gas and electricity figure in cell D19 as a positive figure. </v>
      </c>
      <c r="J19" s="89"/>
      <c r="K19" s="89"/>
      <c r="L19" s="89"/>
      <c r="M19" s="89"/>
      <c r="N19" s="89"/>
      <c r="O19" s="89"/>
      <c r="P19" s="89"/>
      <c r="Q19" s="90"/>
    </row>
    <row r="20" spans="2:17" ht="33" customHeight="1" x14ac:dyDescent="0.3">
      <c r="B20" s="35" t="s">
        <v>10</v>
      </c>
      <c r="C20" s="34"/>
      <c r="D20" s="36"/>
      <c r="E20" s="33"/>
      <c r="F20" s="6"/>
      <c r="I20" s="91" t="str">
        <f>_xlfn.IFS(D20="","Please enter a other expenses figure in cell D20 as a positive figure. ",D20=9000,"Correct.",TRUE,"£"&amp;(9000-D20)&amp;" difference from the correct answer. Look at the client document again.")</f>
        <v xml:space="preserve">Please enter a other expenses figure in cell D20 as a positive figure. </v>
      </c>
      <c r="J20" s="89"/>
      <c r="K20" s="89"/>
      <c r="L20" s="89"/>
      <c r="M20" s="89"/>
      <c r="N20" s="89"/>
      <c r="O20" s="89"/>
      <c r="P20" s="89"/>
      <c r="Q20" s="90"/>
    </row>
    <row r="21" spans="2:17" ht="33" customHeight="1" x14ac:dyDescent="0.3">
      <c r="B21" s="30" t="s">
        <v>80</v>
      </c>
      <c r="C21" s="34"/>
      <c r="D21" s="32"/>
      <c r="E21" s="33"/>
      <c r="F21" s="6"/>
      <c r="I21" s="106" t="str">
        <f>_xlfn.IFS(E21="","Please enter a total operating expenses figure in cell E21. You should use an Excel formula to caculate total operating expenses. You can show this figure as a positive figure.",E21=23700,"Correct.",TRUE,"£"&amp;(23700-E21)&amp;" difference from the correct answer. Please check your formula, and make sure all expenses are entered as positive figures.")</f>
        <v>Please enter a total operating expenses figure in cell E21. You should use an Excel formula to caculate total operating expenses. You can show this figure as a positive figure.</v>
      </c>
      <c r="J21" s="107"/>
      <c r="K21" s="107"/>
      <c r="L21" s="107"/>
      <c r="M21" s="107"/>
      <c r="N21" s="107"/>
      <c r="O21" s="107"/>
      <c r="P21" s="107"/>
      <c r="Q21" s="108"/>
    </row>
    <row r="22" spans="2:17" ht="33" customHeight="1" thickBot="1" x14ac:dyDescent="0.35">
      <c r="B22" s="38" t="s">
        <v>11</v>
      </c>
      <c r="C22" s="39"/>
      <c r="D22" s="40"/>
      <c r="E22" s="41"/>
      <c r="F22" s="42"/>
      <c r="I22" s="91" t="str">
        <f>_xlfn.IFS(E22="","Please enter a net profit figure in cell E22. You should use an Excel formula to caculate net profit.",E22=33000,"Correct.",TRUE,"£"&amp;(33000-E22)&amp;" difference from the correct answer.")</f>
        <v>Please enter a net profit figure in cell E22. You should use an Excel formula to caculate net profit.</v>
      </c>
      <c r="J22" s="89"/>
      <c r="K22" s="89"/>
      <c r="L22" s="89"/>
      <c r="M22" s="89"/>
      <c r="N22" s="89"/>
      <c r="O22" s="89"/>
      <c r="P22" s="89"/>
      <c r="Q22" s="90"/>
    </row>
    <row r="23" spans="2:17" ht="33" customHeight="1" thickTop="1" x14ac:dyDescent="0.3">
      <c r="B23" s="7"/>
      <c r="C23" s="8"/>
      <c r="D23" s="8"/>
      <c r="E23" s="8"/>
      <c r="F23" s="9"/>
      <c r="I23" s="94"/>
      <c r="J23" s="95"/>
      <c r="K23" s="95"/>
      <c r="L23" s="95"/>
      <c r="M23" s="95"/>
      <c r="N23" s="95"/>
      <c r="O23" s="95"/>
      <c r="P23" s="95"/>
      <c r="Q23" s="96"/>
    </row>
    <row r="25" spans="2:17" x14ac:dyDescent="0.3">
      <c r="B25" s="4" t="s">
        <v>138</v>
      </c>
    </row>
    <row r="27" spans="2:17" ht="24" customHeight="1" x14ac:dyDescent="0.3"/>
    <row r="28" spans="2:17" ht="12" customHeight="1" x14ac:dyDescent="0.3"/>
    <row r="29" spans="2:17" ht="24" customHeight="1" x14ac:dyDescent="0.3"/>
    <row r="30" spans="2:17" ht="24" customHeight="1" x14ac:dyDescent="0.3"/>
    <row r="31" spans="2:17" ht="24" customHeight="1" x14ac:dyDescent="0.3"/>
    <row r="32" spans="2:17" ht="11.4" customHeight="1" x14ac:dyDescent="0.3"/>
    <row r="34" ht="24" customHeight="1" x14ac:dyDescent="0.3"/>
    <row r="35" ht="24" customHeight="1" x14ac:dyDescent="0.3"/>
    <row r="36" ht="24" customHeight="1" x14ac:dyDescent="0.3"/>
    <row r="37" ht="23.4" customHeight="1" x14ac:dyDescent="0.3"/>
    <row r="38" ht="24" customHeight="1" x14ac:dyDescent="0.3"/>
    <row r="39" ht="24" customHeight="1" x14ac:dyDescent="0.3"/>
    <row r="40" ht="24" customHeight="1" x14ac:dyDescent="0.3"/>
    <row r="41" ht="24" customHeight="1" x14ac:dyDescent="0.3"/>
    <row r="42" ht="24" customHeight="1" x14ac:dyDescent="0.3"/>
    <row r="43" ht="24" customHeight="1" x14ac:dyDescent="0.3"/>
    <row r="44" ht="24" customHeight="1" x14ac:dyDescent="0.3"/>
  </sheetData>
  <sheetProtection algorithmName="SHA-512" hashValue="fPJ8y8cw164TtNgKz3rFzYU6VHU0mT+n5GfsRP9Pm5yNi6cD8OTBDub2JCPmONqhP7+L7XAbp7UYxfy0Mrnv9g==" saltValue="2bxluGr5fbGOT+QOC3Q9zQ==" spinCount="100000" sheet="1" objects="1" scenarios="1"/>
  <mergeCells count="8">
    <mergeCell ref="I21:Q21"/>
    <mergeCell ref="I18:Q18"/>
    <mergeCell ref="B2:E2"/>
    <mergeCell ref="B3:E3"/>
    <mergeCell ref="I2:Q2"/>
    <mergeCell ref="I17:Q17"/>
    <mergeCell ref="I6:Q6"/>
    <mergeCell ref="I8:Q8"/>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F12F-FB5C-4214-A1B4-AD09E2A42A40}">
  <dimension ref="B2:N28"/>
  <sheetViews>
    <sheetView workbookViewId="0">
      <selection activeCell="D6" sqref="D6"/>
    </sheetView>
  </sheetViews>
  <sheetFormatPr defaultRowHeight="15.6" x14ac:dyDescent="0.3"/>
  <cols>
    <col min="1" max="1" width="2" style="31" customWidth="1"/>
    <col min="2" max="2" width="32.44140625" style="31" bestFit="1" customWidth="1"/>
    <col min="3" max="3" width="8.88671875" style="31"/>
    <col min="4" max="4" width="11.21875" style="73" bestFit="1" customWidth="1"/>
    <col min="5" max="5" width="8.88671875" style="31"/>
    <col min="6" max="14" width="15.5546875" style="31" customWidth="1"/>
    <col min="15" max="16384" width="8.88671875" style="31"/>
  </cols>
  <sheetData>
    <row r="2" spans="2:14" x14ac:dyDescent="0.3">
      <c r="B2" s="117" t="s">
        <v>49</v>
      </c>
      <c r="C2" s="118"/>
      <c r="D2" s="119"/>
      <c r="F2" s="123" t="s">
        <v>82</v>
      </c>
      <c r="G2" s="124"/>
      <c r="H2" s="124"/>
      <c r="I2" s="124"/>
      <c r="J2" s="124"/>
      <c r="K2" s="124"/>
      <c r="L2" s="124"/>
      <c r="M2" s="124"/>
      <c r="N2" s="125"/>
    </row>
    <row r="3" spans="2:14" x14ac:dyDescent="0.3">
      <c r="B3" s="120" t="s">
        <v>50</v>
      </c>
      <c r="C3" s="121"/>
      <c r="D3" s="122"/>
      <c r="F3" s="82"/>
      <c r="G3" s="83"/>
      <c r="H3" s="83"/>
      <c r="I3" s="83"/>
      <c r="J3" s="83"/>
      <c r="K3" s="83"/>
      <c r="L3" s="83"/>
      <c r="M3" s="83"/>
      <c r="N3" s="84"/>
    </row>
    <row r="4" spans="2:14" x14ac:dyDescent="0.3">
      <c r="B4" s="51"/>
      <c r="D4" s="46" t="s">
        <v>66</v>
      </c>
      <c r="F4" s="82"/>
      <c r="G4" s="83"/>
      <c r="H4" s="83"/>
      <c r="I4" s="83"/>
      <c r="J4" s="83"/>
      <c r="K4" s="83"/>
      <c r="L4" s="83"/>
      <c r="M4" s="83"/>
      <c r="N4" s="84"/>
    </row>
    <row r="5" spans="2:14" ht="26.4" customHeight="1" x14ac:dyDescent="0.3">
      <c r="B5" s="59" t="s">
        <v>51</v>
      </c>
      <c r="C5" s="54"/>
      <c r="D5" s="60"/>
      <c r="F5" s="82"/>
      <c r="G5" s="83"/>
      <c r="H5" s="83"/>
      <c r="I5" s="83"/>
      <c r="J5" s="83"/>
      <c r="K5" s="83"/>
      <c r="L5" s="83"/>
      <c r="M5" s="83"/>
      <c r="N5" s="84"/>
    </row>
    <row r="6" spans="2:14" ht="26.4" customHeight="1" x14ac:dyDescent="0.3">
      <c r="B6" s="61" t="s">
        <v>52</v>
      </c>
      <c r="D6" s="62"/>
      <c r="F6" s="114" t="str">
        <f>_xlfn.IFS(D6="","This is a cash inflow, please enter a positive figure in cell D6. ",D6=60000,"Correct.",TRUE,"£"&amp;(60000-D6)&amp;" difference from the correct answer. Look at the client document again, especially the cash sales figure.")</f>
        <v xml:space="preserve">This is a cash inflow, please enter a positive figure in cell D6. </v>
      </c>
      <c r="G6" s="115"/>
      <c r="H6" s="115"/>
      <c r="I6" s="115"/>
      <c r="J6" s="115"/>
      <c r="K6" s="115"/>
      <c r="L6" s="115"/>
      <c r="M6" s="115"/>
      <c r="N6" s="116"/>
    </row>
    <row r="7" spans="2:14" ht="26.4" customHeight="1" x14ac:dyDescent="0.3">
      <c r="B7" s="61" t="s">
        <v>53</v>
      </c>
      <c r="D7" s="62"/>
      <c r="F7" s="114" t="str">
        <f>_xlfn.IFS(D7="","This is a cash outflow, please enter a negative figure in cell D7. ",D7=-12000,"Correct.",TRUE,"£"&amp;(-12000-D7)&amp;" difference from the correct answer. Look at the client document again, especially Note 2.")</f>
        <v xml:space="preserve">This is a cash outflow, please enter a negative figure in cell D7. </v>
      </c>
      <c r="G7" s="115"/>
      <c r="H7" s="115"/>
      <c r="I7" s="115"/>
      <c r="J7" s="115"/>
      <c r="K7" s="115"/>
      <c r="L7" s="115"/>
      <c r="M7" s="115"/>
      <c r="N7" s="116"/>
    </row>
    <row r="8" spans="2:14" ht="26.4" customHeight="1" x14ac:dyDescent="0.3">
      <c r="B8" s="61" t="s">
        <v>54</v>
      </c>
      <c r="D8" s="62"/>
      <c r="F8" s="114" t="str">
        <f>_xlfn.IFS(D8="","This is a cash outflow, please enter a negative figure in cell D8. ",D8=-11000,"Correct.",TRUE,"£"&amp;(-11000-D8)&amp;" difference from the correct answer. Look at the client document again, especially Note 5.")</f>
        <v xml:space="preserve">This is a cash outflow, please enter a negative figure in cell D8. </v>
      </c>
      <c r="G8" s="115"/>
      <c r="H8" s="115"/>
      <c r="I8" s="115"/>
      <c r="J8" s="115"/>
      <c r="K8" s="115"/>
      <c r="L8" s="115"/>
      <c r="M8" s="115"/>
      <c r="N8" s="116"/>
    </row>
    <row r="9" spans="2:14" ht="26.4" customHeight="1" x14ac:dyDescent="0.3">
      <c r="B9" s="61" t="s">
        <v>55</v>
      </c>
      <c r="D9" s="62"/>
      <c r="F9" s="114" t="str">
        <f>_xlfn.IFS(D9="","This is a cash outflow, please enter a negative figure in cell D9. ",D9=-2400,"Correct.",TRUE,"£"&amp;(-2400-D9)&amp;" difference from the correct answer. Look at the client document again, this should be the total of rent, gas and electricity expenses paid.")</f>
        <v xml:space="preserve">This is a cash outflow, please enter a negative figure in cell D9. </v>
      </c>
      <c r="G9" s="115"/>
      <c r="H9" s="115"/>
      <c r="I9" s="115"/>
      <c r="J9" s="115"/>
      <c r="K9" s="115"/>
      <c r="L9" s="115"/>
      <c r="M9" s="115"/>
      <c r="N9" s="116"/>
    </row>
    <row r="10" spans="2:14" ht="26.4" customHeight="1" x14ac:dyDescent="0.3">
      <c r="B10" s="61" t="s">
        <v>10</v>
      </c>
      <c r="D10" s="62"/>
      <c r="F10" s="114" t="str">
        <f>_xlfn.IFS(D10="","This is a cash outflow, please enter a negative figure in cell D10. ",D10=-9000,"Correct.",TRUE,"£"&amp;(-9000-D10)&amp;" difference from the correct answer. Look at the client document again.")</f>
        <v xml:space="preserve">This is a cash outflow, please enter a negative figure in cell D10. </v>
      </c>
      <c r="G10" s="115"/>
      <c r="H10" s="115"/>
      <c r="I10" s="115"/>
      <c r="J10" s="115"/>
      <c r="K10" s="115"/>
      <c r="L10" s="115"/>
      <c r="M10" s="115"/>
      <c r="N10" s="116"/>
    </row>
    <row r="11" spans="2:14" ht="26.4" customHeight="1" x14ac:dyDescent="0.3">
      <c r="B11" s="63" t="s">
        <v>56</v>
      </c>
      <c r="C11" s="64"/>
      <c r="D11" s="65"/>
      <c r="F11" s="114" t="str">
        <f>_xlfn.IFS(D11="","This is a sub-total, please use an Excel formula to calculate the net cash from operating activities.",D11=25600,"Correct.",TRUE,"£"&amp;(25600-D11)&amp;" difference from the correct answer. Check your formula, please.")</f>
        <v>This is a sub-total, please use an Excel formula to calculate the net cash from operating activities.</v>
      </c>
      <c r="G11" s="115"/>
      <c r="H11" s="115"/>
      <c r="I11" s="115"/>
      <c r="J11" s="115"/>
      <c r="K11" s="115"/>
      <c r="L11" s="115"/>
      <c r="M11" s="115"/>
      <c r="N11" s="116"/>
    </row>
    <row r="12" spans="2:14" ht="26.4" customHeight="1" x14ac:dyDescent="0.3">
      <c r="B12" s="51"/>
      <c r="D12" s="62"/>
      <c r="F12" s="82"/>
      <c r="G12" s="83"/>
      <c r="H12" s="83"/>
      <c r="I12" s="83"/>
      <c r="J12" s="83"/>
      <c r="K12" s="83"/>
      <c r="L12" s="83"/>
      <c r="M12" s="83"/>
      <c r="N12" s="84"/>
    </row>
    <row r="13" spans="2:14" ht="26.4" customHeight="1" x14ac:dyDescent="0.3">
      <c r="B13" s="59" t="s">
        <v>57</v>
      </c>
      <c r="C13" s="54"/>
      <c r="D13" s="60"/>
      <c r="F13" s="82"/>
      <c r="G13" s="83"/>
      <c r="H13" s="83"/>
      <c r="I13" s="83"/>
      <c r="J13" s="83"/>
      <c r="K13" s="83"/>
      <c r="L13" s="83"/>
      <c r="M13" s="83"/>
      <c r="N13" s="84"/>
    </row>
    <row r="14" spans="2:14" ht="26.4" customHeight="1" x14ac:dyDescent="0.3">
      <c r="B14" s="61" t="s">
        <v>58</v>
      </c>
      <c r="D14" s="62"/>
      <c r="F14" s="114" t="str">
        <f>_xlfn.IFS(D14="","This is a cash outflow, please enter a negative figure in cell D14. ",D14=-4800,"Correct.",TRUE,"£"&amp;(-4800-D14)&amp;" difference from the correct answer. Look at the client document again, how much was the computer?")</f>
        <v xml:space="preserve">This is a cash outflow, please enter a negative figure in cell D14. </v>
      </c>
      <c r="G14" s="115"/>
      <c r="H14" s="115"/>
      <c r="I14" s="115"/>
      <c r="J14" s="115"/>
      <c r="K14" s="115"/>
      <c r="L14" s="115"/>
      <c r="M14" s="115"/>
      <c r="N14" s="116"/>
    </row>
    <row r="15" spans="2:14" ht="26.4" customHeight="1" x14ac:dyDescent="0.3">
      <c r="B15" s="61" t="s">
        <v>4</v>
      </c>
      <c r="D15" s="62"/>
      <c r="F15" s="114" t="str">
        <f>_xlfn.IFS(D15="","This is a cash inflow, please enter a positive figure in cell D15. ",D15=300,"Correct.",TRUE,"£"&amp;(300-D15)&amp;" difference from the correct answer. Look at the client document again.")</f>
        <v xml:space="preserve">This is a cash inflow, please enter a positive figure in cell D15. </v>
      </c>
      <c r="G15" s="115"/>
      <c r="H15" s="115"/>
      <c r="I15" s="115"/>
      <c r="J15" s="115"/>
      <c r="K15" s="115"/>
      <c r="L15" s="115"/>
      <c r="M15" s="115"/>
      <c r="N15" s="116"/>
    </row>
    <row r="16" spans="2:14" ht="26.4" customHeight="1" x14ac:dyDescent="0.3">
      <c r="B16" s="63" t="s">
        <v>59</v>
      </c>
      <c r="C16" s="64"/>
      <c r="D16" s="65"/>
      <c r="F16" s="114" t="str">
        <f>_xlfn.IFS(D16="","This is a sub-total, please use an Excel formula to calculate the net cash from investing activities.",D16=-4500,"Correct.",TRUE,"£"&amp;(-4500-D16)&amp;" difference from the correct answer. Check your formula, please.")</f>
        <v>This is a sub-total, please use an Excel formula to calculate the net cash from investing activities.</v>
      </c>
      <c r="G16" s="115"/>
      <c r="H16" s="115"/>
      <c r="I16" s="115"/>
      <c r="J16" s="115"/>
      <c r="K16" s="115"/>
      <c r="L16" s="115"/>
      <c r="M16" s="115"/>
      <c r="N16" s="116"/>
    </row>
    <row r="17" spans="2:14" ht="26.4" customHeight="1" x14ac:dyDescent="0.3">
      <c r="B17" s="51"/>
      <c r="D17" s="62"/>
      <c r="F17" s="82"/>
      <c r="G17" s="83"/>
      <c r="H17" s="83"/>
      <c r="I17" s="83"/>
      <c r="J17" s="83"/>
      <c r="K17" s="83"/>
      <c r="L17" s="83"/>
      <c r="M17" s="83"/>
      <c r="N17" s="84"/>
    </row>
    <row r="18" spans="2:14" ht="26.4" customHeight="1" x14ac:dyDescent="0.3">
      <c r="B18" s="59" t="s">
        <v>60</v>
      </c>
      <c r="C18" s="54"/>
      <c r="D18" s="60"/>
      <c r="F18" s="82"/>
      <c r="G18" s="83"/>
      <c r="H18" s="83"/>
      <c r="I18" s="83"/>
      <c r="J18" s="83"/>
      <c r="K18" s="83"/>
      <c r="L18" s="83"/>
      <c r="M18" s="83"/>
      <c r="N18" s="84"/>
    </row>
    <row r="19" spans="2:14" ht="26.4" customHeight="1" x14ac:dyDescent="0.3">
      <c r="B19" s="61" t="s">
        <v>61</v>
      </c>
      <c r="D19" s="62"/>
      <c r="F19" s="114" t="str">
        <f>_xlfn.IFS(D19="","This is a cash inflow, please enter a positive figure in cell D19. ",D19=10000,"Correct.",TRUE,"£"&amp;(10000-D19)&amp;" difference from the correct answer. Look at the client document again, how much capital did Catalina introduced to the business?.")</f>
        <v xml:space="preserve">This is a cash inflow, please enter a positive figure in cell D19. </v>
      </c>
      <c r="G19" s="115"/>
      <c r="H19" s="115"/>
      <c r="I19" s="115"/>
      <c r="J19" s="115"/>
      <c r="K19" s="115"/>
      <c r="L19" s="115"/>
      <c r="M19" s="115"/>
      <c r="N19" s="116"/>
    </row>
    <row r="20" spans="2:14" ht="26.4" customHeight="1" x14ac:dyDescent="0.3">
      <c r="B20" s="61" t="s">
        <v>28</v>
      </c>
      <c r="D20" s="62"/>
      <c r="F20" s="114" t="str">
        <f>_xlfn.IFS(D20="","This is a cash outflow, please enter a negative figure in cell D20. ",D20=-6000,"Correct.",TRUE,"£"&amp;(-6000-D20)&amp;" difference from the correct answer. Look at the client document again, especially Note 5.")</f>
        <v xml:space="preserve">This is a cash outflow, please enter a negative figure in cell D20. </v>
      </c>
      <c r="G20" s="115"/>
      <c r="H20" s="115"/>
      <c r="I20" s="115"/>
      <c r="J20" s="115"/>
      <c r="K20" s="115"/>
      <c r="L20" s="115"/>
      <c r="M20" s="115"/>
      <c r="N20" s="116"/>
    </row>
    <row r="21" spans="2:14" ht="26.4" customHeight="1" x14ac:dyDescent="0.3">
      <c r="B21" s="63" t="s">
        <v>62</v>
      </c>
      <c r="C21" s="64"/>
      <c r="D21" s="65"/>
      <c r="F21" s="114" t="str">
        <f>_xlfn.IFS(D21="","This is a sub-total, please use an Excel formula to calculate the net cash from financing activities.",D21=4000,"Correct.",TRUE,"£"&amp;(4000-D21)&amp;" difference from the correct answer. Check your formula, please.")</f>
        <v>This is a sub-total, please use an Excel formula to calculate the net cash from financing activities.</v>
      </c>
      <c r="G21" s="115"/>
      <c r="H21" s="115"/>
      <c r="I21" s="115"/>
      <c r="J21" s="115"/>
      <c r="K21" s="115"/>
      <c r="L21" s="115"/>
      <c r="M21" s="115"/>
      <c r="N21" s="116"/>
    </row>
    <row r="22" spans="2:14" ht="26.4" customHeight="1" x14ac:dyDescent="0.3">
      <c r="B22" s="51"/>
      <c r="D22" s="62"/>
      <c r="F22" s="82"/>
      <c r="G22" s="83"/>
      <c r="H22" s="83"/>
      <c r="I22" s="83"/>
      <c r="J22" s="83"/>
      <c r="K22" s="83"/>
      <c r="L22" s="83"/>
      <c r="M22" s="83"/>
      <c r="N22" s="84"/>
    </row>
    <row r="23" spans="2:14" ht="26.4" customHeight="1" x14ac:dyDescent="0.3">
      <c r="B23" s="30" t="s">
        <v>63</v>
      </c>
      <c r="C23" s="49"/>
      <c r="D23" s="66"/>
      <c r="F23" s="114" t="str">
        <f>_xlfn.IFS(D23="","This is a sub-total, please use an Excel formula to calculate thetotal increase in cash.",D23=25100,"Correct.",TRUE,"£"&amp;(25100-D23)&amp;" difference from the correct answer. Check your formula, please.")</f>
        <v>This is a sub-total, please use an Excel formula to calculate thetotal increase in cash.</v>
      </c>
      <c r="G23" s="115"/>
      <c r="H23" s="115"/>
      <c r="I23" s="115"/>
      <c r="J23" s="115"/>
      <c r="K23" s="115"/>
      <c r="L23" s="115"/>
      <c r="M23" s="115"/>
      <c r="N23" s="116"/>
    </row>
    <row r="24" spans="2:14" ht="26.4" customHeight="1" x14ac:dyDescent="0.3">
      <c r="B24" s="30" t="s">
        <v>64</v>
      </c>
      <c r="C24" s="49"/>
      <c r="D24" s="66">
        <v>0</v>
      </c>
      <c r="F24" s="82" t="s">
        <v>126</v>
      </c>
      <c r="G24" s="83"/>
      <c r="H24" s="83"/>
      <c r="I24" s="83"/>
      <c r="J24" s="83"/>
      <c r="K24" s="83"/>
      <c r="L24" s="83"/>
      <c r="M24" s="83"/>
      <c r="N24" s="84"/>
    </row>
    <row r="25" spans="2:14" ht="26.4" customHeight="1" thickBot="1" x14ac:dyDescent="0.35">
      <c r="B25" s="67" t="s">
        <v>65</v>
      </c>
      <c r="C25" s="68"/>
      <c r="D25" s="69"/>
      <c r="F25" s="114" t="str">
        <f>_xlfn.IFS(D25="","This is a sub-total, please use an Excel formula to calculate the total closing cash balance at the end of the financial year.",D25=25100,"Correct.",TRUE,"£"&amp;(25100-D25)&amp;" difference from the correct answer. Check your formula, please.")</f>
        <v>This is a sub-total, please use an Excel formula to calculate the total closing cash balance at the end of the financial year.</v>
      </c>
      <c r="G25" s="115"/>
      <c r="H25" s="115"/>
      <c r="I25" s="115"/>
      <c r="J25" s="115"/>
      <c r="K25" s="115"/>
      <c r="L25" s="115"/>
      <c r="M25" s="115"/>
      <c r="N25" s="116"/>
    </row>
    <row r="26" spans="2:14" ht="16.2" thickTop="1" x14ac:dyDescent="0.3">
      <c r="B26" s="70"/>
      <c r="C26" s="71"/>
      <c r="D26" s="72"/>
      <c r="F26" s="85"/>
      <c r="G26" s="86"/>
      <c r="H26" s="86"/>
      <c r="I26" s="86"/>
      <c r="J26" s="86"/>
      <c r="K26" s="86"/>
      <c r="L26" s="86"/>
      <c r="M26" s="86"/>
      <c r="N26" s="87"/>
    </row>
    <row r="28" spans="2:14" x14ac:dyDescent="0.3">
      <c r="B28" s="4" t="s">
        <v>138</v>
      </c>
    </row>
  </sheetData>
  <sheetProtection algorithmName="SHA-512" hashValue="AHUve95VtWtffu62diqRBu5V6TuAHWO0WAzJIxJwzbIIxRextuu+I/gTSdTDqvYgRhSQyUUQWg7hgzZsKT8W3A==" saltValue="vQ05uWhReyVkHL3SUw/Mmg==" spinCount="100000" sheet="1" objects="1" scenarios="1"/>
  <mergeCells count="17">
    <mergeCell ref="F19:N19"/>
    <mergeCell ref="F20:N20"/>
    <mergeCell ref="F21:N21"/>
    <mergeCell ref="F23:N23"/>
    <mergeCell ref="F25:N25"/>
    <mergeCell ref="F16:N16"/>
    <mergeCell ref="B2:D2"/>
    <mergeCell ref="B3:D3"/>
    <mergeCell ref="F2:N2"/>
    <mergeCell ref="F6:N6"/>
    <mergeCell ref="F7:N7"/>
    <mergeCell ref="F8:N8"/>
    <mergeCell ref="F9:N9"/>
    <mergeCell ref="F10:N10"/>
    <mergeCell ref="F11:N11"/>
    <mergeCell ref="F14:N14"/>
    <mergeCell ref="F15:N1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A062-25EF-49A8-B1DA-B839AA33BF99}">
  <dimension ref="B2:N33"/>
  <sheetViews>
    <sheetView workbookViewId="0">
      <selection activeCell="D15" sqref="D15"/>
    </sheetView>
  </sheetViews>
  <sheetFormatPr defaultRowHeight="14.4" x14ac:dyDescent="0.3"/>
  <cols>
    <col min="1" max="1" width="8.88671875" style="4"/>
    <col min="2" max="2" width="27.6640625" style="4" bestFit="1" customWidth="1"/>
    <col min="3" max="3" width="8.88671875" style="4"/>
    <col min="4" max="4" width="9.21875" style="58" customWidth="1"/>
    <col min="5" max="5" width="4.6640625" style="4" customWidth="1"/>
    <col min="6" max="14" width="14" style="4" customWidth="1"/>
    <col min="15" max="16384" width="8.88671875" style="4"/>
  </cols>
  <sheetData>
    <row r="2" spans="2:14" ht="15.6" x14ac:dyDescent="0.3">
      <c r="B2" s="109" t="s">
        <v>67</v>
      </c>
      <c r="C2" s="110"/>
      <c r="D2" s="126"/>
      <c r="F2" s="111" t="s">
        <v>82</v>
      </c>
      <c r="G2" s="112"/>
      <c r="H2" s="112"/>
      <c r="I2" s="112"/>
      <c r="J2" s="112"/>
      <c r="K2" s="112"/>
      <c r="L2" s="112"/>
      <c r="M2" s="112"/>
      <c r="N2" s="113"/>
    </row>
    <row r="3" spans="2:14" x14ac:dyDescent="0.3">
      <c r="B3" s="127" t="s">
        <v>68</v>
      </c>
      <c r="C3" s="128"/>
      <c r="D3" s="129"/>
      <c r="F3" s="88"/>
      <c r="G3" s="89"/>
      <c r="H3" s="89"/>
      <c r="I3" s="89"/>
      <c r="J3" s="89"/>
      <c r="K3" s="89"/>
      <c r="L3" s="89"/>
      <c r="M3" s="89"/>
      <c r="N3" s="90"/>
    </row>
    <row r="4" spans="2:14" x14ac:dyDescent="0.3">
      <c r="B4" s="5"/>
      <c r="D4" s="43"/>
      <c r="F4" s="88"/>
      <c r="G4" s="89"/>
      <c r="H4" s="89"/>
      <c r="I4" s="89"/>
      <c r="J4" s="89"/>
      <c r="K4" s="89"/>
      <c r="L4" s="89"/>
      <c r="M4" s="89"/>
      <c r="N4" s="90"/>
    </row>
    <row r="5" spans="2:14" ht="15.6" x14ac:dyDescent="0.3">
      <c r="B5" s="44" t="s">
        <v>12</v>
      </c>
      <c r="C5" s="28"/>
      <c r="D5" s="45" t="s">
        <v>66</v>
      </c>
      <c r="E5" s="28"/>
      <c r="F5" s="88"/>
      <c r="G5" s="89"/>
      <c r="H5" s="89"/>
      <c r="I5" s="89"/>
      <c r="J5" s="89"/>
      <c r="K5" s="89"/>
      <c r="L5" s="89"/>
      <c r="M5" s="89"/>
      <c r="N5" s="90"/>
    </row>
    <row r="6" spans="2:14" s="34" customFormat="1" ht="25.8" customHeight="1" x14ac:dyDescent="0.3">
      <c r="B6" s="35" t="s">
        <v>125</v>
      </c>
      <c r="C6" s="31"/>
      <c r="D6" s="46"/>
      <c r="E6" s="31"/>
      <c r="F6" s="106" t="str">
        <f>_xlfn.IFS(D6="","Please enter a positive figure in cell D6. ",D6=4800,"Correct.",TRUE,"£"&amp;(4800-D6)&amp;" difference from the correct answer. Look at the client document again, especially the purchase of computer expense. What is the initial cost at recognition?")</f>
        <v xml:space="preserve">Please enter a positive figure in cell D6. </v>
      </c>
      <c r="G6" s="107"/>
      <c r="H6" s="107"/>
      <c r="I6" s="107"/>
      <c r="J6" s="107"/>
      <c r="K6" s="107"/>
      <c r="L6" s="107"/>
      <c r="M6" s="107"/>
      <c r="N6" s="108"/>
    </row>
    <row r="7" spans="2:14" s="34" customFormat="1" ht="25.8" customHeight="1" x14ac:dyDescent="0.3">
      <c r="B7" s="35" t="s">
        <v>69</v>
      </c>
      <c r="C7" s="31"/>
      <c r="D7" s="47"/>
      <c r="E7" s="31"/>
      <c r="F7" s="106" t="str">
        <f>_xlfn.IFS(D7="","Please enter a negative figure in cell D7. ",D7=-960,"Correct.",TRUE,"£"&amp;(-960-D7)&amp;" difference from the correct answer. Look at the client document again, especially the purchase of computer expense and Note 3. Remember how to calculate straight line depreciation?")</f>
        <v xml:space="preserve">Please enter a negative figure in cell D7. </v>
      </c>
      <c r="G7" s="107"/>
      <c r="H7" s="107"/>
      <c r="I7" s="107"/>
      <c r="J7" s="107"/>
      <c r="K7" s="107"/>
      <c r="L7" s="107"/>
      <c r="M7" s="107"/>
      <c r="N7" s="108"/>
    </row>
    <row r="8" spans="2:14" s="34" customFormat="1" ht="25.8" customHeight="1" x14ac:dyDescent="0.3">
      <c r="B8" s="48" t="s">
        <v>70</v>
      </c>
      <c r="C8" s="49"/>
      <c r="D8" s="50"/>
      <c r="E8" s="31"/>
      <c r="F8" s="106" t="str">
        <f>_xlfn.IFS(D8="","Please enter a positive figure in cell D8, preferably using an Excel formula.",D8=3840,"Correct.",TRUE,"£"&amp;(3840-D8)&amp;" difference from the correct answer. Check your formula again.")</f>
        <v>Please enter a positive figure in cell D8, preferably using an Excel formula.</v>
      </c>
      <c r="G8" s="107"/>
      <c r="H8" s="107"/>
      <c r="I8" s="107"/>
      <c r="J8" s="107"/>
      <c r="K8" s="107"/>
      <c r="L8" s="107"/>
      <c r="M8" s="107"/>
      <c r="N8" s="108"/>
    </row>
    <row r="9" spans="2:14" s="34" customFormat="1" ht="25.8" customHeight="1" x14ac:dyDescent="0.3">
      <c r="B9" s="51"/>
      <c r="C9" s="31"/>
      <c r="D9" s="46"/>
      <c r="E9" s="31"/>
      <c r="F9" s="91"/>
      <c r="G9" s="92"/>
      <c r="H9" s="92"/>
      <c r="I9" s="92"/>
      <c r="J9" s="92"/>
      <c r="K9" s="92"/>
      <c r="L9" s="92"/>
      <c r="M9" s="92"/>
      <c r="N9" s="93"/>
    </row>
    <row r="10" spans="2:14" s="34" customFormat="1" ht="25.8" customHeight="1" x14ac:dyDescent="0.3">
      <c r="B10" s="30" t="s">
        <v>13</v>
      </c>
      <c r="C10" s="31"/>
      <c r="D10" s="46"/>
      <c r="E10" s="31"/>
      <c r="F10" s="91"/>
      <c r="G10" s="92"/>
      <c r="H10" s="92"/>
      <c r="I10" s="92"/>
      <c r="J10" s="92"/>
      <c r="K10" s="92"/>
      <c r="L10" s="92"/>
      <c r="M10" s="92"/>
      <c r="N10" s="93"/>
    </row>
    <row r="11" spans="2:14" s="34" customFormat="1" ht="25.8" customHeight="1" x14ac:dyDescent="0.3">
      <c r="B11" s="35" t="s">
        <v>14</v>
      </c>
      <c r="C11" s="31"/>
      <c r="D11" s="46"/>
      <c r="E11" s="31"/>
      <c r="F11" s="106" t="str">
        <f>_xlfn.IFS(D11="","Please enter a positive figure in cell D11.",D11=2600,"Correct.",TRUE,"£"&amp;(2600-D11)&amp;" difference from the correct answer. Check your formula and the client document again, especially Note 2.")</f>
        <v>Please enter a positive figure in cell D11.</v>
      </c>
      <c r="G11" s="107"/>
      <c r="H11" s="107"/>
      <c r="I11" s="107"/>
      <c r="J11" s="107"/>
      <c r="K11" s="107"/>
      <c r="L11" s="107"/>
      <c r="M11" s="107"/>
      <c r="N11" s="108"/>
    </row>
    <row r="12" spans="2:14" s="34" customFormat="1" ht="25.8" customHeight="1" x14ac:dyDescent="0.3">
      <c r="B12" s="35" t="s">
        <v>15</v>
      </c>
      <c r="C12" s="31"/>
      <c r="D12" s="46"/>
      <c r="E12" s="31"/>
      <c r="F12" s="106" t="str">
        <f>_xlfn.IFS(D12="","Please enter a positive figure in cell D12.",D12=6300,"Correct.",TRUE,"£"&amp;(6300-D12)&amp;" difference from the correct answer. Check your formula and the client document again, especially Note 1 - have you excluded the doubtful debt?")</f>
        <v>Please enter a positive figure in cell D12.</v>
      </c>
      <c r="G12" s="107"/>
      <c r="H12" s="107"/>
      <c r="I12" s="107"/>
      <c r="J12" s="107"/>
      <c r="K12" s="107"/>
      <c r="L12" s="107"/>
      <c r="M12" s="107"/>
      <c r="N12" s="108"/>
    </row>
    <row r="13" spans="2:14" s="34" customFormat="1" ht="25.8" customHeight="1" x14ac:dyDescent="0.3">
      <c r="B13" s="35" t="s">
        <v>16</v>
      </c>
      <c r="C13" s="31"/>
      <c r="D13" s="46"/>
      <c r="E13" s="31"/>
      <c r="F13" s="106" t="str">
        <f>_xlfn.IFS(D13="","Please enter a positive figure in cell D13.",D13=500,"Correct.",TRUE,"£"&amp;(500-D13)&amp;" difference from the correct answer. Check your formula and the client document again, especially Note 4 - have you correctly calculated the prepaid amount?")</f>
        <v>Please enter a positive figure in cell D13.</v>
      </c>
      <c r="G13" s="107"/>
      <c r="H13" s="107"/>
      <c r="I13" s="107"/>
      <c r="J13" s="107"/>
      <c r="K13" s="107"/>
      <c r="L13" s="107"/>
      <c r="M13" s="107"/>
      <c r="N13" s="108"/>
    </row>
    <row r="14" spans="2:14" s="34" customFormat="1" ht="25.8" customHeight="1" x14ac:dyDescent="0.3">
      <c r="B14" s="35" t="s">
        <v>17</v>
      </c>
      <c r="C14" s="31"/>
      <c r="D14" s="46"/>
      <c r="E14" s="31"/>
      <c r="F14" s="106" t="str">
        <f>_xlfn.IFS(D14="","Please enter a positive figure in cell D14.",D14=25100,"Correct.",TRUE,"£"&amp;(25100-D14)&amp;" difference from the correct answer. Perhaps complete the cash flow statement first, then you will know the total cash amount to recognise here.")</f>
        <v>Please enter a positive figure in cell D14.</v>
      </c>
      <c r="G14" s="107"/>
      <c r="H14" s="107"/>
      <c r="I14" s="107"/>
      <c r="J14" s="107"/>
      <c r="K14" s="107"/>
      <c r="L14" s="107"/>
      <c r="M14" s="107"/>
      <c r="N14" s="108"/>
    </row>
    <row r="15" spans="2:14" s="34" customFormat="1" ht="25.8" customHeight="1" x14ac:dyDescent="0.3">
      <c r="B15" s="30" t="s">
        <v>18</v>
      </c>
      <c r="C15" s="31"/>
      <c r="D15" s="52"/>
      <c r="E15" s="31"/>
      <c r="F15" s="106" t="str">
        <f>_xlfn.IFS(D15="","Please enter a positive figure in cell D15, preferably using an Excel formula.",D15=34500,"Correct.",TRUE,"£"&amp;(34500-D15)&amp;" difference from the correct answer. Check your formula again.")</f>
        <v>Please enter a positive figure in cell D15, preferably using an Excel formula.</v>
      </c>
      <c r="G15" s="107"/>
      <c r="H15" s="107"/>
      <c r="I15" s="107"/>
      <c r="J15" s="107"/>
      <c r="K15" s="107"/>
      <c r="L15" s="107"/>
      <c r="M15" s="107"/>
      <c r="N15" s="108"/>
    </row>
    <row r="16" spans="2:14" s="34" customFormat="1" ht="25.8" customHeight="1" x14ac:dyDescent="0.3">
      <c r="B16" s="51"/>
      <c r="C16" s="31"/>
      <c r="D16" s="46"/>
      <c r="E16" s="31"/>
      <c r="F16" s="91"/>
      <c r="G16" s="92"/>
      <c r="H16" s="92"/>
      <c r="I16" s="92"/>
      <c r="J16" s="92"/>
      <c r="K16" s="92"/>
      <c r="L16" s="92"/>
      <c r="M16" s="92"/>
      <c r="N16" s="93"/>
    </row>
    <row r="17" spans="2:14" s="34" customFormat="1" ht="25.8" customHeight="1" x14ac:dyDescent="0.3">
      <c r="B17" s="30" t="s">
        <v>19</v>
      </c>
      <c r="C17" s="31"/>
      <c r="D17" s="46"/>
      <c r="E17" s="31"/>
      <c r="F17" s="91"/>
      <c r="G17" s="92"/>
      <c r="H17" s="92"/>
      <c r="I17" s="92"/>
      <c r="J17" s="92"/>
      <c r="K17" s="92"/>
      <c r="L17" s="92"/>
      <c r="M17" s="92"/>
      <c r="N17" s="93"/>
    </row>
    <row r="18" spans="2:14" s="34" customFormat="1" ht="25.8" customHeight="1" x14ac:dyDescent="0.3">
      <c r="B18" s="35" t="s">
        <v>20</v>
      </c>
      <c r="C18" s="31"/>
      <c r="D18" s="46"/>
      <c r="E18" s="31"/>
      <c r="F18" s="106" t="str">
        <f>_xlfn.IFS(D18="","Please enter a negative figure in cell D18.",D18=-1200,"Correct.",TRUE,"£"&amp;(-1200-D18)&amp;" difference from the correct answer. Check your formula and the client document again, especially Note 2.")</f>
        <v>Please enter a negative figure in cell D18.</v>
      </c>
      <c r="G18" s="107"/>
      <c r="H18" s="107"/>
      <c r="I18" s="107"/>
      <c r="J18" s="107"/>
      <c r="K18" s="107"/>
      <c r="L18" s="107"/>
      <c r="M18" s="107"/>
      <c r="N18" s="108"/>
    </row>
    <row r="19" spans="2:14" s="34" customFormat="1" ht="25.8" customHeight="1" x14ac:dyDescent="0.3">
      <c r="B19" s="35" t="s">
        <v>21</v>
      </c>
      <c r="C19" s="31"/>
      <c r="D19" s="46"/>
      <c r="E19" s="31"/>
      <c r="F19" s="106" t="str">
        <f>_xlfn.IFS(D19="","Please enter a negative figure in cell D19.",D19=-140,"Correct.",TRUE,"£"&amp;(-140-D19)&amp;" difference from the correct answer. Check your formula and the client document again, especially Note 6.")</f>
        <v>Please enter a negative figure in cell D19.</v>
      </c>
      <c r="G19" s="107"/>
      <c r="H19" s="107"/>
      <c r="I19" s="107"/>
      <c r="J19" s="107"/>
      <c r="K19" s="107"/>
      <c r="L19" s="107"/>
      <c r="M19" s="107"/>
      <c r="N19" s="108"/>
    </row>
    <row r="20" spans="2:14" s="34" customFormat="1" ht="25.8" customHeight="1" x14ac:dyDescent="0.3">
      <c r="B20" s="51"/>
      <c r="C20" s="31"/>
      <c r="D20" s="46"/>
      <c r="E20" s="31"/>
      <c r="F20" s="91"/>
      <c r="G20" s="92"/>
      <c r="H20" s="92"/>
      <c r="I20" s="92"/>
      <c r="J20" s="92"/>
      <c r="K20" s="92"/>
      <c r="L20" s="92"/>
      <c r="M20" s="92"/>
      <c r="N20" s="93"/>
    </row>
    <row r="21" spans="2:14" s="34" customFormat="1" ht="25.8" customHeight="1" x14ac:dyDescent="0.3">
      <c r="B21" s="30" t="s">
        <v>22</v>
      </c>
      <c r="C21" s="31"/>
      <c r="D21" s="50"/>
      <c r="E21" s="31"/>
      <c r="F21" s="106" t="str">
        <f>_xlfn.IFS(D21="","Please enter a positive figure in cell D15, preferably using an Excel formula.",D21=33160,"Correct.",TRUE,"£"&amp;(33160-D21)&amp;" difference from the correct answer. Check your formula again.")</f>
        <v>Please enter a positive figure in cell D15, preferably using an Excel formula.</v>
      </c>
      <c r="G21" s="107"/>
      <c r="H21" s="107"/>
      <c r="I21" s="107"/>
      <c r="J21" s="107"/>
      <c r="K21" s="107"/>
      <c r="L21" s="107"/>
      <c r="M21" s="107"/>
      <c r="N21" s="108"/>
    </row>
    <row r="22" spans="2:14" s="34" customFormat="1" ht="25.8" customHeight="1" x14ac:dyDescent="0.3">
      <c r="B22" s="51"/>
      <c r="C22" s="31"/>
      <c r="D22" s="46"/>
      <c r="E22" s="31"/>
      <c r="F22" s="91"/>
      <c r="G22" s="92"/>
      <c r="H22" s="92"/>
      <c r="I22" s="92"/>
      <c r="J22" s="92"/>
      <c r="K22" s="92"/>
      <c r="L22" s="92"/>
      <c r="M22" s="92"/>
      <c r="N22" s="93"/>
    </row>
    <row r="23" spans="2:14" s="34" customFormat="1" ht="25.8" customHeight="1" thickBot="1" x14ac:dyDescent="0.35">
      <c r="B23" s="53" t="s">
        <v>23</v>
      </c>
      <c r="C23" s="54"/>
      <c r="D23" s="55"/>
      <c r="E23" s="31"/>
      <c r="F23" s="106" t="str">
        <f>_xlfn.IFS(D23="","Please enter a positive figure in cell D23, preferably using an Excel formula.",D23=37000,"Correct.",TRUE,"£"&amp;(37000-D23)&amp;" difference from the correct answer. Check your formula again.")</f>
        <v>Please enter a positive figure in cell D23, preferably using an Excel formula.</v>
      </c>
      <c r="G23" s="107"/>
      <c r="H23" s="107"/>
      <c r="I23" s="107"/>
      <c r="J23" s="107"/>
      <c r="K23" s="107"/>
      <c r="L23" s="107"/>
      <c r="M23" s="107"/>
      <c r="N23" s="108"/>
    </row>
    <row r="24" spans="2:14" s="34" customFormat="1" ht="25.8" customHeight="1" thickTop="1" x14ac:dyDescent="0.3">
      <c r="B24" s="51"/>
      <c r="C24" s="31"/>
      <c r="D24" s="46"/>
      <c r="E24" s="31"/>
      <c r="F24" s="91"/>
      <c r="G24" s="92"/>
      <c r="H24" s="92"/>
      <c r="I24" s="92"/>
      <c r="J24" s="92"/>
      <c r="K24" s="92"/>
      <c r="L24" s="92"/>
      <c r="M24" s="92"/>
      <c r="N24" s="93"/>
    </row>
    <row r="25" spans="2:14" s="34" customFormat="1" ht="25.8" customHeight="1" x14ac:dyDescent="0.3">
      <c r="B25" s="30" t="s">
        <v>24</v>
      </c>
      <c r="C25" s="31"/>
      <c r="D25" s="46"/>
      <c r="E25" s="31"/>
      <c r="F25" s="91"/>
      <c r="G25" s="92"/>
      <c r="H25" s="92"/>
      <c r="I25" s="92"/>
      <c r="J25" s="92"/>
      <c r="K25" s="92"/>
      <c r="L25" s="92"/>
      <c r="M25" s="92"/>
      <c r="N25" s="93"/>
    </row>
    <row r="26" spans="2:14" s="34" customFormat="1" ht="25.8" customHeight="1" x14ac:dyDescent="0.3">
      <c r="B26" s="56" t="s">
        <v>25</v>
      </c>
      <c r="C26" s="31"/>
      <c r="D26" s="46"/>
      <c r="E26" s="31"/>
      <c r="F26" s="91"/>
      <c r="G26" s="92"/>
      <c r="H26" s="92"/>
      <c r="I26" s="92"/>
      <c r="J26" s="92"/>
      <c r="K26" s="92"/>
      <c r="L26" s="92"/>
      <c r="M26" s="92"/>
      <c r="N26" s="93"/>
    </row>
    <row r="27" spans="2:14" s="34" customFormat="1" ht="25.8" customHeight="1" x14ac:dyDescent="0.3">
      <c r="B27" s="35" t="s">
        <v>26</v>
      </c>
      <c r="C27" s="31"/>
      <c r="D27" s="46"/>
      <c r="E27" s="31"/>
      <c r="F27" s="106" t="str">
        <f>_xlfn.IFS(D27="","Please enter a positive figure in cell D27.",D27=10000,"Correct.",TRUE,"£"&amp;(10000-D27)&amp;" difference from the correct answer. Check your formula and the client document again. How much did Catalina deposited in her Barclays business bank account?")</f>
        <v>Please enter a positive figure in cell D27.</v>
      </c>
      <c r="G27" s="107"/>
      <c r="H27" s="107"/>
      <c r="I27" s="107"/>
      <c r="J27" s="107"/>
      <c r="K27" s="107"/>
      <c r="L27" s="107"/>
      <c r="M27" s="107"/>
      <c r="N27" s="108"/>
    </row>
    <row r="28" spans="2:14" s="34" customFormat="1" ht="25.8" customHeight="1" x14ac:dyDescent="0.3">
      <c r="B28" s="35" t="s">
        <v>27</v>
      </c>
      <c r="C28" s="31"/>
      <c r="D28" s="46"/>
      <c r="E28" s="31"/>
      <c r="F28" s="106" t="str">
        <f>_xlfn.IFS(D28="","Please enter a positive figure in cell D28.",D28=33000,"Correct.",TRUE,"£"&amp;(33000-D28)&amp;" difference from the correct answer. Check your formula and the Statement of Profit or Loss (GAAP) you prepared. How much is the net profit?")</f>
        <v>Please enter a positive figure in cell D28.</v>
      </c>
      <c r="G28" s="107"/>
      <c r="H28" s="107"/>
      <c r="I28" s="107"/>
      <c r="J28" s="107"/>
      <c r="K28" s="107"/>
      <c r="L28" s="107"/>
      <c r="M28" s="107"/>
      <c r="N28" s="108"/>
    </row>
    <row r="29" spans="2:14" s="34" customFormat="1" ht="25.8" customHeight="1" x14ac:dyDescent="0.3">
      <c r="B29" s="35" t="s">
        <v>28</v>
      </c>
      <c r="C29" s="31"/>
      <c r="D29" s="46"/>
      <c r="E29" s="31"/>
      <c r="F29" s="106" t="str">
        <f>_xlfn.IFS(D29="","Please enter a negative figure in cell D29.",D29=-6000,"Correct.",TRUE,"£"&amp;(-6000-D29)&amp;" difference from the correct answer. Check your formula and the client document again, especially Note 5.")</f>
        <v>Please enter a negative figure in cell D29.</v>
      </c>
      <c r="G29" s="107"/>
      <c r="H29" s="107"/>
      <c r="I29" s="107"/>
      <c r="J29" s="107"/>
      <c r="K29" s="107"/>
      <c r="L29" s="107"/>
      <c r="M29" s="107"/>
      <c r="N29" s="108"/>
    </row>
    <row r="30" spans="2:14" s="34" customFormat="1" ht="25.8" customHeight="1" thickBot="1" x14ac:dyDescent="0.35">
      <c r="B30" s="53" t="s">
        <v>29</v>
      </c>
      <c r="C30" s="54"/>
      <c r="D30" s="55"/>
      <c r="E30" s="31"/>
      <c r="F30" s="130" t="str">
        <f>_xlfn.IFS(D30="","Please enter a positive figure in cell D30, preferably using an Excel formula.",D30=37000,"Correct.",TRUE,"£"&amp;(37000-D30)&amp;" difference from the correct answer. Check your formula again.")</f>
        <v>Please enter a positive figure in cell D30, preferably using an Excel formula.</v>
      </c>
      <c r="G30" s="131"/>
      <c r="H30" s="131"/>
      <c r="I30" s="131"/>
      <c r="J30" s="131"/>
      <c r="K30" s="131"/>
      <c r="L30" s="131"/>
      <c r="M30" s="131"/>
      <c r="N30" s="132"/>
    </row>
    <row r="31" spans="2:14" ht="15" thickTop="1" x14ac:dyDescent="0.3">
      <c r="B31" s="7"/>
      <c r="C31" s="8"/>
      <c r="D31" s="57"/>
    </row>
    <row r="33" spans="2:2" x14ac:dyDescent="0.3">
      <c r="B33" s="4" t="s">
        <v>138</v>
      </c>
    </row>
  </sheetData>
  <sheetProtection algorithmName="SHA-512" hashValue="8inq2znlUv7Na8gOLJWGX9cC3HbcFeD3KhsEKkXsMKGrTKJKzZ6Tgzw9pZAerXbRz1hOYU1IkPWOgt7hYfvxmg==" saltValue="xxFPlXer3kzd9q95DA3KJg==" spinCount="100000" sheet="1" objects="1" scenarios="1"/>
  <mergeCells count="19">
    <mergeCell ref="F30:N30"/>
    <mergeCell ref="F19:N19"/>
    <mergeCell ref="F21:N21"/>
    <mergeCell ref="F23:N23"/>
    <mergeCell ref="F27:N27"/>
    <mergeCell ref="F28:N28"/>
    <mergeCell ref="F29:N29"/>
    <mergeCell ref="F18:N18"/>
    <mergeCell ref="B2:D2"/>
    <mergeCell ref="B3:D3"/>
    <mergeCell ref="F2:N2"/>
    <mergeCell ref="F6:N6"/>
    <mergeCell ref="F7:N7"/>
    <mergeCell ref="F8:N8"/>
    <mergeCell ref="F11:N11"/>
    <mergeCell ref="F12:N12"/>
    <mergeCell ref="F13:N13"/>
    <mergeCell ref="F14:N14"/>
    <mergeCell ref="F15:N15"/>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4A7E-129F-4003-BEF5-DF19A0E683EF}">
  <dimension ref="B2:Q25"/>
  <sheetViews>
    <sheetView workbookViewId="0">
      <selection activeCell="F20" sqref="F20"/>
    </sheetView>
  </sheetViews>
  <sheetFormatPr defaultRowHeight="14.4" x14ac:dyDescent="0.3"/>
  <cols>
    <col min="1" max="1" width="8.88671875" style="4"/>
    <col min="2" max="12" width="12.88671875" style="4" customWidth="1"/>
    <col min="13" max="17" width="9.109375" style="4" customWidth="1"/>
    <col min="18" max="16384" width="8.88671875" style="4"/>
  </cols>
  <sheetData>
    <row r="2" spans="2:17" x14ac:dyDescent="0.3">
      <c r="B2" s="74" t="s">
        <v>137</v>
      </c>
      <c r="C2" s="2"/>
      <c r="D2" s="2"/>
      <c r="E2" s="2"/>
      <c r="F2" s="2"/>
      <c r="G2" s="2"/>
      <c r="H2" s="2"/>
      <c r="I2" s="2"/>
      <c r="J2" s="2"/>
      <c r="K2" s="2"/>
      <c r="L2" s="2"/>
      <c r="M2" s="2"/>
      <c r="N2" s="2"/>
      <c r="O2" s="2"/>
      <c r="P2" s="2"/>
      <c r="Q2" s="3"/>
    </row>
    <row r="3" spans="2:17" x14ac:dyDescent="0.3">
      <c r="B3" s="5"/>
      <c r="Q3" s="6"/>
    </row>
    <row r="4" spans="2:17" x14ac:dyDescent="0.3">
      <c r="B4" s="5" t="s">
        <v>127</v>
      </c>
      <c r="Q4" s="6"/>
    </row>
    <row r="5" spans="2:17" x14ac:dyDescent="0.3">
      <c r="B5" s="5"/>
      <c r="Q5" s="6"/>
    </row>
    <row r="6" spans="2:17" x14ac:dyDescent="0.3">
      <c r="B6" s="5" t="s">
        <v>135</v>
      </c>
      <c r="Q6" s="6"/>
    </row>
    <row r="7" spans="2:17" x14ac:dyDescent="0.3">
      <c r="B7" s="5" t="s">
        <v>136</v>
      </c>
      <c r="Q7" s="6"/>
    </row>
    <row r="8" spans="2:17" x14ac:dyDescent="0.3">
      <c r="B8" s="5"/>
      <c r="Q8" s="6"/>
    </row>
    <row r="9" spans="2:17" x14ac:dyDescent="0.3">
      <c r="B9" s="15" t="s">
        <v>86</v>
      </c>
      <c r="Q9" s="6"/>
    </row>
    <row r="10" spans="2:17" x14ac:dyDescent="0.3">
      <c r="B10" s="75" t="s">
        <v>88</v>
      </c>
      <c r="Q10" s="6"/>
    </row>
    <row r="11" spans="2:17" x14ac:dyDescent="0.3">
      <c r="B11" s="75" t="s">
        <v>89</v>
      </c>
      <c r="Q11" s="6"/>
    </row>
    <row r="12" spans="2:17" x14ac:dyDescent="0.3">
      <c r="B12" s="75" t="s">
        <v>94</v>
      </c>
      <c r="Q12" s="6"/>
    </row>
    <row r="13" spans="2:17" x14ac:dyDescent="0.3">
      <c r="B13" s="75"/>
      <c r="Q13" s="6"/>
    </row>
    <row r="14" spans="2:17" x14ac:dyDescent="0.3">
      <c r="B14" s="75"/>
      <c r="C14" s="76" t="s">
        <v>128</v>
      </c>
      <c r="D14" s="77"/>
      <c r="E14" s="78"/>
      <c r="F14" s="76" t="s">
        <v>132</v>
      </c>
      <c r="G14" s="79"/>
      <c r="H14" s="80"/>
      <c r="Q14" s="6"/>
    </row>
    <row r="15" spans="2:17" x14ac:dyDescent="0.3">
      <c r="B15" s="75"/>
      <c r="C15" s="7" t="s">
        <v>129</v>
      </c>
      <c r="D15" s="8"/>
      <c r="E15" s="9"/>
      <c r="F15" s="7" t="s">
        <v>148</v>
      </c>
      <c r="G15" s="8"/>
      <c r="H15" s="9"/>
      <c r="Q15" s="6"/>
    </row>
    <row r="16" spans="2:17" x14ac:dyDescent="0.3">
      <c r="B16" s="75"/>
      <c r="C16" s="7" t="s">
        <v>130</v>
      </c>
      <c r="D16" s="8"/>
      <c r="E16" s="9"/>
      <c r="F16" s="7" t="s">
        <v>133</v>
      </c>
      <c r="G16" s="8"/>
      <c r="H16" s="9"/>
      <c r="Q16" s="6"/>
    </row>
    <row r="17" spans="2:17" x14ac:dyDescent="0.3">
      <c r="B17" s="75"/>
      <c r="C17" s="1" t="s">
        <v>147</v>
      </c>
      <c r="D17" s="2"/>
      <c r="E17" s="3"/>
      <c r="F17" s="133" t="s">
        <v>133</v>
      </c>
      <c r="G17" s="134"/>
      <c r="H17" s="135"/>
      <c r="Q17" s="6"/>
    </row>
    <row r="18" spans="2:17" x14ac:dyDescent="0.3">
      <c r="B18" s="75"/>
      <c r="C18" s="7" t="s">
        <v>131</v>
      </c>
      <c r="D18" s="8"/>
      <c r="E18" s="9"/>
      <c r="F18" s="136"/>
      <c r="G18" s="137"/>
      <c r="H18" s="138"/>
      <c r="Q18" s="6"/>
    </row>
    <row r="19" spans="2:17" x14ac:dyDescent="0.3">
      <c r="B19" s="75"/>
      <c r="Q19" s="6"/>
    </row>
    <row r="20" spans="2:17" x14ac:dyDescent="0.3">
      <c r="B20" s="15" t="s">
        <v>87</v>
      </c>
      <c r="Q20" s="6"/>
    </row>
    <row r="21" spans="2:17" x14ac:dyDescent="0.3">
      <c r="B21" s="75" t="s">
        <v>134</v>
      </c>
      <c r="Q21" s="6"/>
    </row>
    <row r="22" spans="2:17" x14ac:dyDescent="0.3">
      <c r="B22" s="75" t="s">
        <v>90</v>
      </c>
      <c r="Q22" s="6"/>
    </row>
    <row r="23" spans="2:17" x14ac:dyDescent="0.3">
      <c r="B23" s="75" t="s">
        <v>92</v>
      </c>
      <c r="Q23" s="6"/>
    </row>
    <row r="24" spans="2:17" x14ac:dyDescent="0.3">
      <c r="B24" s="75" t="s">
        <v>91</v>
      </c>
      <c r="Q24" s="6"/>
    </row>
    <row r="25" spans="2:17" x14ac:dyDescent="0.3">
      <c r="B25" s="81" t="s">
        <v>93</v>
      </c>
      <c r="C25" s="8"/>
      <c r="D25" s="8"/>
      <c r="E25" s="8"/>
      <c r="F25" s="8"/>
      <c r="G25" s="8"/>
      <c r="H25" s="8"/>
      <c r="I25" s="8"/>
      <c r="J25" s="8"/>
      <c r="K25" s="8"/>
      <c r="L25" s="8"/>
      <c r="M25" s="8"/>
      <c r="N25" s="8"/>
      <c r="O25" s="8"/>
      <c r="P25" s="8"/>
      <c r="Q25" s="9"/>
    </row>
  </sheetData>
  <mergeCells count="1">
    <mergeCell ref="F17:H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0e9a1768-def9-4038-9fb5-216f08118f8e"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49151AEE4FAB4B99CBFA2CF7A19E6F" ma:contentTypeVersion="20" ma:contentTypeDescription="Create a new document." ma:contentTypeScope="" ma:versionID="afd40df47e242ed1119f7faaa120dcf4">
  <xsd:schema xmlns:xsd="http://www.w3.org/2001/XMLSchema" xmlns:xs="http://www.w3.org/2001/XMLSchema" xmlns:p="http://schemas.microsoft.com/office/2006/metadata/properties" xmlns:ns1="http://schemas.microsoft.com/sharepoint/v3" xmlns:ns3="0e9a1768-def9-4038-9fb5-216f08118f8e" xmlns:ns4="eaa55527-f899-4e40-b50a-9dc55f7953e5" targetNamespace="http://schemas.microsoft.com/office/2006/metadata/properties" ma:root="true" ma:fieldsID="448107bcde2dd79dba478a4314fb7580" ns1:_="" ns3:_="" ns4:_="">
    <xsd:import namespace="http://schemas.microsoft.com/sharepoint/v3"/>
    <xsd:import namespace="0e9a1768-def9-4038-9fb5-216f08118f8e"/>
    <xsd:import namespace="eaa55527-f899-4e40-b50a-9dc55f7953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3:MediaServiceOCR" minOccurs="0"/>
                <xsd:element ref="ns3:MediaServiceLocation" minOccurs="0"/>
                <xsd:element ref="ns1:_ip_UnifiedCompliancePolicyProperties" minOccurs="0"/>
                <xsd:element ref="ns1:_ip_UnifiedCompliancePolicyUIAc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9a1768-def9-4038-9fb5-216f08118f8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a55527-f899-4e40-b50a-9dc55f7953e5"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72E645-C2A3-4F6A-8113-F8C72502BD3E}">
  <ds:schemaRefs>
    <ds:schemaRef ds:uri="http://purl.org/dc/terms/"/>
    <ds:schemaRef ds:uri="http://www.w3.org/XML/1998/namespace"/>
    <ds:schemaRef ds:uri="http://purl.org/dc/dcmitype/"/>
    <ds:schemaRef ds:uri="http://purl.org/dc/elements/1.1/"/>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eaa55527-f899-4e40-b50a-9dc55f7953e5"/>
    <ds:schemaRef ds:uri="0e9a1768-def9-4038-9fb5-216f08118f8e"/>
  </ds:schemaRefs>
</ds:datastoreItem>
</file>

<file path=customXml/itemProps2.xml><?xml version="1.0" encoding="utf-8"?>
<ds:datastoreItem xmlns:ds="http://schemas.openxmlformats.org/officeDocument/2006/customXml" ds:itemID="{731D587C-974F-4D88-AF74-DFEE546035AF}">
  <ds:schemaRefs>
    <ds:schemaRef ds:uri="http://schemas.microsoft.com/sharepoint/v3/contenttype/forms"/>
  </ds:schemaRefs>
</ds:datastoreItem>
</file>

<file path=customXml/itemProps3.xml><?xml version="1.0" encoding="utf-8"?>
<ds:datastoreItem xmlns:ds="http://schemas.openxmlformats.org/officeDocument/2006/customXml" ds:itemID="{C02040BD-AD10-4377-A56A-7E974D82F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e9a1768-def9-4038-9fb5-216f08118f8e"/>
    <ds:schemaRef ds:uri="eaa55527-f899-4e40-b50a-9dc55f795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Shan's Email</vt:lpstr>
      <vt:lpstr>1. Client document</vt:lpstr>
      <vt:lpstr>2. GAAP IS template</vt:lpstr>
      <vt:lpstr>3. CF template</vt:lpstr>
      <vt:lpstr>4. GAAP SFP template</vt:lpstr>
      <vt:lpstr>Shan's overall reflection point</vt:lpstr>
    </vt:vector>
  </TitlesOfParts>
  <Company>Middlesex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 Wang</dc:creator>
  <cp:lastModifiedBy>Shan Wang</cp:lastModifiedBy>
  <dcterms:created xsi:type="dcterms:W3CDTF">2025-09-11T16:27:52Z</dcterms:created>
  <dcterms:modified xsi:type="dcterms:W3CDTF">2025-09-19T16:23:17Z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0x0101001049151AEE4FAB4B99CBFA2CF7A19E6F</vt:lpwstr>
  </property>
</Properties>
</file>